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https://worldsteel-my.sharepoint.com/personal/maciel_worldsteel_org/Documents/1_CO2-Report/2022_CO2_Data_Collection/Methodology/"/>
    </mc:Choice>
  </mc:AlternateContent>
  <xr:revisionPtr revIDLastSave="23" documentId="13_ncr:1_{B9428B00-3592-4B06-909E-266F7481D920}" xr6:coauthVersionLast="47" xr6:coauthVersionMax="47" xr10:uidLastSave="{9E42B97E-8070-432C-AD9C-00E575CCBA4F}"/>
  <bookViews>
    <workbookView xWindow="-120" yWindow="-120" windowWidth="29040" windowHeight="15840" tabRatio="705" xr2:uid="{00000000-000D-0000-FFFF-FFFF00000000}"/>
  </bookViews>
  <sheets>
    <sheet name="Report" sheetId="5" r:id="rId1"/>
    <sheet name="IEA_Ref_HiddenTab" sheetId="8" state="veryHidden" r:id="rId2"/>
  </sheets>
  <definedNames>
    <definedName name="_xlnm.Print_Area" localSheetId="0">Report!$A$1:$P$145</definedName>
  </definedNames>
  <calcPr calcId="191029" calcOnSave="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0" i="5" l="1"/>
  <c r="E48" i="8"/>
  <c r="E6" i="8"/>
  <c r="N113" i="5"/>
  <c r="G63" i="5"/>
  <c r="I31" i="5"/>
  <c r="K118" i="5"/>
  <c r="K133" i="5"/>
  <c r="N118" i="5"/>
  <c r="N133" i="5"/>
  <c r="J116" i="5"/>
  <c r="M116" i="5"/>
  <c r="M109" i="5"/>
  <c r="J114" i="5"/>
  <c r="M114" i="5"/>
  <c r="J115" i="5"/>
  <c r="M115" i="5"/>
  <c r="J117" i="5"/>
  <c r="M117" i="5"/>
  <c r="M110" i="5"/>
  <c r="M129" i="5"/>
  <c r="M128" i="5"/>
  <c r="M133" i="5"/>
  <c r="L116" i="5"/>
  <c r="L129" i="5"/>
  <c r="L133" i="5"/>
  <c r="L128" i="5"/>
  <c r="K116" i="5"/>
  <c r="I24" i="5"/>
  <c r="K89" i="5"/>
  <c r="K109" i="5"/>
  <c r="I63" i="5"/>
  <c r="K63" i="5"/>
  <c r="H133" i="5"/>
  <c r="E133" i="5"/>
  <c r="E132" i="5"/>
  <c r="I71" i="5"/>
  <c r="I67" i="5"/>
  <c r="I64" i="5"/>
  <c r="I62" i="5"/>
  <c r="I61" i="5"/>
  <c r="I127" i="5"/>
  <c r="K127" i="5"/>
  <c r="N127" i="5"/>
  <c r="N126" i="5"/>
  <c r="N125" i="5"/>
  <c r="N132" i="5"/>
  <c r="H132" i="5"/>
  <c r="N124" i="5"/>
  <c r="N131" i="5"/>
  <c r="N123" i="5"/>
  <c r="N122" i="5"/>
  <c r="N121" i="5"/>
  <c r="N120" i="5"/>
  <c r="J119" i="5"/>
  <c r="N119" i="5"/>
  <c r="N9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9" i="5"/>
  <c r="J113" i="5"/>
  <c r="J112" i="5"/>
  <c r="N112" i="5"/>
  <c r="J111" i="5"/>
  <c r="N111" i="5"/>
  <c r="N108" i="5"/>
  <c r="N107" i="5"/>
  <c r="N106" i="5"/>
  <c r="N105" i="5"/>
  <c r="N104" i="5"/>
  <c r="N103" i="5"/>
  <c r="J102" i="5"/>
  <c r="N102" i="5"/>
  <c r="J101" i="5"/>
  <c r="N101" i="5"/>
  <c r="J100" i="5"/>
  <c r="N100" i="5"/>
  <c r="N99" i="5"/>
  <c r="N98" i="5"/>
  <c r="N97" i="5"/>
  <c r="N96" i="5"/>
  <c r="N95" i="5"/>
  <c r="N94" i="5"/>
  <c r="N93" i="5"/>
  <c r="N92" i="5"/>
  <c r="N91" i="5"/>
  <c r="N89" i="5"/>
  <c r="N88" i="5"/>
  <c r="N87" i="5"/>
  <c r="N86" i="5"/>
  <c r="N85" i="5"/>
  <c r="N84" i="5"/>
  <c r="N83" i="5"/>
  <c r="N82" i="5"/>
  <c r="N81" i="5"/>
  <c r="N80" i="5"/>
  <c r="N79" i="5"/>
  <c r="N78" i="5"/>
  <c r="I77" i="5"/>
  <c r="J77" i="5"/>
  <c r="N77" i="5"/>
  <c r="N76" i="5"/>
  <c r="N75" i="5"/>
  <c r="J74" i="5"/>
  <c r="N74" i="5"/>
  <c r="I73" i="5"/>
  <c r="J73" i="5"/>
  <c r="N73" i="5"/>
  <c r="N72" i="5"/>
  <c r="N71" i="5"/>
  <c r="N70" i="5"/>
  <c r="N69" i="5"/>
  <c r="J68" i="5"/>
  <c r="N68" i="5"/>
  <c r="N67" i="5"/>
  <c r="N66" i="5"/>
  <c r="N65" i="5"/>
  <c r="N64" i="5"/>
  <c r="N63" i="5"/>
  <c r="N62" i="5"/>
  <c r="N61" i="5"/>
  <c r="I115" i="5"/>
  <c r="L115" i="5"/>
  <c r="I114" i="5"/>
  <c r="L114" i="5"/>
  <c r="I126" i="5"/>
  <c r="K126" i="5"/>
  <c r="K125" i="5"/>
  <c r="K124" i="5"/>
  <c r="K129" i="5"/>
  <c r="K123" i="5"/>
  <c r="K122" i="5"/>
  <c r="K121" i="5"/>
  <c r="K120" i="5"/>
  <c r="K119" i="5"/>
  <c r="K117" i="5"/>
  <c r="I116" i="5"/>
  <c r="K115" i="5"/>
  <c r="K114" i="5"/>
  <c r="K113" i="5"/>
  <c r="K112" i="5"/>
  <c r="K111" i="5"/>
  <c r="K110" i="5"/>
  <c r="K108" i="5"/>
  <c r="K107" i="5"/>
  <c r="K106" i="5"/>
  <c r="K105" i="5"/>
  <c r="K104" i="5"/>
  <c r="K103" i="5"/>
  <c r="K102" i="5"/>
  <c r="K101" i="5"/>
  <c r="K100" i="5"/>
  <c r="K99" i="5"/>
  <c r="K98" i="5"/>
  <c r="K97" i="5"/>
  <c r="K96" i="5"/>
  <c r="K95" i="5"/>
  <c r="K94" i="5"/>
  <c r="K93" i="5"/>
  <c r="K92" i="5"/>
  <c r="K91" i="5"/>
  <c r="I90" i="5"/>
  <c r="K90" i="5"/>
  <c r="K88" i="5"/>
  <c r="K87" i="5"/>
  <c r="K86" i="5"/>
  <c r="I85" i="5"/>
  <c r="K85" i="5"/>
  <c r="K84" i="5"/>
  <c r="I83" i="5"/>
  <c r="K83" i="5"/>
  <c r="K82" i="5"/>
  <c r="K81" i="5"/>
  <c r="K80" i="5"/>
  <c r="K79" i="5"/>
  <c r="I78" i="5"/>
  <c r="K78" i="5"/>
  <c r="K77" i="5"/>
  <c r="K76" i="5"/>
  <c r="K75" i="5"/>
  <c r="K74" i="5"/>
  <c r="K73" i="5"/>
  <c r="K72" i="5"/>
  <c r="K71" i="5"/>
  <c r="I70" i="5"/>
  <c r="K70" i="5"/>
  <c r="K69" i="5"/>
  <c r="I68" i="5"/>
  <c r="K68" i="5"/>
  <c r="K67" i="5"/>
  <c r="I66" i="5"/>
  <c r="K66" i="5"/>
  <c r="I65" i="5"/>
  <c r="K65" i="5"/>
  <c r="K64" i="5"/>
  <c r="K62" i="5"/>
  <c r="K61" i="5"/>
  <c r="I89" i="5"/>
  <c r="K130" i="5"/>
  <c r="K132" i="5"/>
  <c r="G77" i="5"/>
  <c r="G67" i="5"/>
  <c r="G119" i="5"/>
  <c r="H119" i="5"/>
  <c r="H118" i="5"/>
  <c r="G118" i="5"/>
  <c r="L130" i="5"/>
  <c r="M130" i="5"/>
  <c r="N130" i="5"/>
  <c r="I76" i="5"/>
  <c r="I75" i="5"/>
  <c r="I74" i="5"/>
  <c r="I72" i="5"/>
  <c r="G114" i="5"/>
  <c r="G115" i="5"/>
  <c r="G116" i="5"/>
  <c r="I107" i="5"/>
  <c r="I108" i="5"/>
  <c r="I102" i="5"/>
  <c r="I98" i="5"/>
  <c r="I97" i="5"/>
  <c r="I96" i="5"/>
  <c r="I93" i="5"/>
  <c r="I94" i="5"/>
  <c r="I92" i="5"/>
  <c r="I91" i="5"/>
  <c r="G85" i="5"/>
  <c r="G83" i="5"/>
  <c r="I106" i="5"/>
  <c r="F23" i="8"/>
  <c r="F24" i="8"/>
  <c r="I54" i="5"/>
  <c r="E11" i="8"/>
  <c r="E12" i="8"/>
  <c r="E13" i="8"/>
  <c r="E14" i="8"/>
  <c r="E15"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E5" i="8"/>
  <c r="F5" i="8"/>
  <c r="F6" i="8"/>
  <c r="E7" i="8"/>
  <c r="F7" i="8"/>
  <c r="E8" i="8"/>
  <c r="F8" i="8"/>
  <c r="E9" i="8"/>
  <c r="F9" i="8"/>
  <c r="E10" i="8"/>
  <c r="F10" i="8"/>
  <c r="F11" i="8"/>
  <c r="F12" i="8"/>
  <c r="F13" i="8"/>
  <c r="F14" i="8"/>
  <c r="F15" i="8"/>
  <c r="F16" i="8"/>
  <c r="F17" i="8"/>
  <c r="F18" i="8"/>
  <c r="F19" i="8"/>
  <c r="F20" i="8"/>
  <c r="F21" i="8"/>
  <c r="F22" i="8"/>
  <c r="I101" i="5"/>
  <c r="J75" i="5"/>
  <c r="L132" i="5"/>
  <c r="L131" i="5"/>
  <c r="M132" i="5"/>
  <c r="M131" i="5"/>
  <c r="I105" i="5"/>
  <c r="I104" i="5"/>
  <c r="I103" i="5"/>
  <c r="I100" i="5"/>
  <c r="I99" i="5"/>
  <c r="G78" i="5"/>
  <c r="G68" i="5"/>
  <c r="G66" i="5"/>
  <c r="G65" i="5"/>
  <c r="G64" i="5"/>
  <c r="G62" i="5"/>
  <c r="I36" i="5"/>
  <c r="I30" i="5"/>
  <c r="H130" i="5"/>
  <c r="E128" i="5"/>
  <c r="E129" i="5"/>
  <c r="E130" i="5"/>
  <c r="E131" i="5"/>
  <c r="E134" i="5"/>
  <c r="H54" i="5"/>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9" i="8"/>
  <c r="E50" i="8"/>
  <c r="E51" i="8"/>
  <c r="E52" i="8"/>
  <c r="E53" i="8"/>
  <c r="E54" i="8"/>
  <c r="E55" i="8"/>
  <c r="K131" i="5"/>
  <c r="K128" i="5"/>
  <c r="N129" i="5"/>
  <c r="N128" i="5"/>
  <c r="H131" i="5"/>
  <c r="H129" i="5"/>
  <c r="H128" i="5"/>
</calcChain>
</file>

<file path=xl/sharedStrings.xml><?xml version="1.0" encoding="utf-8"?>
<sst xmlns="http://schemas.openxmlformats.org/spreadsheetml/2006/main" count="330" uniqueCount="216">
  <si>
    <r>
      <t>CO</t>
    </r>
    <r>
      <rPr>
        <vertAlign val="subscript"/>
        <sz val="14"/>
        <rFont val="Arial"/>
        <family val="2"/>
      </rPr>
      <t>2</t>
    </r>
    <r>
      <rPr>
        <sz val="14"/>
        <rFont val="Arial"/>
        <family val="2"/>
      </rPr>
      <t xml:space="preserve"> emissions data submission form for worldsteel sectoral approach</t>
    </r>
  </si>
  <si>
    <t>Mandatory to fill-in</t>
  </si>
  <si>
    <t>Stainless steel only</t>
  </si>
  <si>
    <t>Site:</t>
  </si>
  <si>
    <t>Organization:</t>
  </si>
  <si>
    <t>Protected calculation</t>
  </si>
  <si>
    <t>Fixed value</t>
  </si>
  <si>
    <t>Site structure (the number of operated units)</t>
  </si>
  <si>
    <t>Coke battery</t>
  </si>
  <si>
    <r>
      <t>BF &gt; 1000 m</t>
    </r>
    <r>
      <rPr>
        <vertAlign val="superscript"/>
        <sz val="8"/>
        <rFont val="Arial"/>
        <family val="2"/>
      </rPr>
      <t>3</t>
    </r>
  </si>
  <si>
    <t>Open hearth</t>
  </si>
  <si>
    <t>Cold rolling</t>
  </si>
  <si>
    <t>A&amp;P lines</t>
  </si>
  <si>
    <t>Sinter plant</t>
  </si>
  <si>
    <t>100&lt;BF&lt;1000</t>
  </si>
  <si>
    <t>Hot rolling</t>
  </si>
  <si>
    <t>HDG lines</t>
  </si>
  <si>
    <t>Bright A lines</t>
  </si>
  <si>
    <t>Pellet plant</t>
  </si>
  <si>
    <r>
      <t>BF &lt; 100 m</t>
    </r>
    <r>
      <rPr>
        <vertAlign val="superscript"/>
        <sz val="8"/>
        <rFont val="Arial"/>
        <family val="2"/>
      </rPr>
      <t>3</t>
    </r>
  </si>
  <si>
    <t>Lime kilns</t>
  </si>
  <si>
    <t>EG lines</t>
  </si>
  <si>
    <t>Batch Annealing</t>
  </si>
  <si>
    <t>Gas DRI</t>
  </si>
  <si>
    <t>BOF shops</t>
  </si>
  <si>
    <t>Oxygen plant</t>
  </si>
  <si>
    <t>Tining lines</t>
  </si>
  <si>
    <t>Coal DRI</t>
  </si>
  <si>
    <t>EAF units</t>
  </si>
  <si>
    <t>Power plant</t>
  </si>
  <si>
    <t>Smelting Reduction</t>
  </si>
  <si>
    <t>BASIC information</t>
  </si>
  <si>
    <t>Total coke production (dry t)</t>
  </si>
  <si>
    <t>Sinter production (t)</t>
  </si>
  <si>
    <t>Pellet production (t)</t>
  </si>
  <si>
    <t>Hot metal production (t)</t>
  </si>
  <si>
    <t>DRI production (t)</t>
  </si>
  <si>
    <t>BOF crude steel production (t)</t>
  </si>
  <si>
    <t>Open Hearth crude steel production (t)</t>
  </si>
  <si>
    <t>EAF crude steel production (t)</t>
  </si>
  <si>
    <t>Carbon crude steel production (t)</t>
  </si>
  <si>
    <t>Hot rolled steel production (t)</t>
  </si>
  <si>
    <t>Austenitic stainless steel production (t)</t>
  </si>
  <si>
    <t>Ferritic stainless steel production (t)</t>
  </si>
  <si>
    <t>Martensitic stainless steel production (t)</t>
  </si>
  <si>
    <t>Other stainless steel production (t)</t>
  </si>
  <si>
    <t>Stainless steel production (t)</t>
  </si>
  <si>
    <t>Total Ironmaking slag production (t)</t>
  </si>
  <si>
    <t>Total steelmaking slag production (t)</t>
  </si>
  <si>
    <t>Granulated Ironmaking slag production (t)</t>
  </si>
  <si>
    <t>Granulated Steelmaking slag production (t)</t>
  </si>
  <si>
    <t>Total Granulated slag production (t)</t>
  </si>
  <si>
    <t>Hot rolled stainless steel production (t)</t>
  </si>
  <si>
    <t>Cold rolled stainless steel production (t)</t>
  </si>
  <si>
    <t>Iron supply from upstream (t)</t>
  </si>
  <si>
    <t>Purchased carbon steel scraps (t)</t>
  </si>
  <si>
    <t>Purchased stainless steel scraps (t)</t>
  </si>
  <si>
    <t>Home carbon steel scraps (t)</t>
  </si>
  <si>
    <t>Home stainless steel scraps (t)</t>
  </si>
  <si>
    <t xml:space="preserve"> Cr-Ni type scraps (%)</t>
  </si>
  <si>
    <t xml:space="preserve"> Cr type scraps (%)</t>
  </si>
  <si>
    <t>Burnt lime production (t)</t>
  </si>
  <si>
    <t>Power generation (MWh)</t>
  </si>
  <si>
    <t>Data verified by external body</t>
  </si>
  <si>
    <t>No</t>
  </si>
  <si>
    <t>Site data</t>
  </si>
  <si>
    <t>Conversion factors</t>
  </si>
  <si>
    <t>Calculation results</t>
  </si>
  <si>
    <t>Unit</t>
  </si>
  <si>
    <t>Purchased
Procured</t>
  </si>
  <si>
    <t>Sold
Delivered</t>
  </si>
  <si>
    <t>C content
Site measurement</t>
  </si>
  <si>
    <t>Energy Equivalent</t>
  </si>
  <si>
    <t>Emission Factor</t>
  </si>
  <si>
    <r>
      <t>Upstream
CO</t>
    </r>
    <r>
      <rPr>
        <vertAlign val="subscript"/>
        <sz val="8"/>
        <rFont val="Arial"/>
        <family val="2"/>
      </rPr>
      <t>2</t>
    </r>
    <r>
      <rPr>
        <sz val="8"/>
        <rFont val="Arial"/>
        <family val="2"/>
      </rPr>
      <t xml:space="preserve"> value</t>
    </r>
  </si>
  <si>
    <t>Scope 1
Direct emissions</t>
  </si>
  <si>
    <t>Scope 1.1
emissions</t>
  </si>
  <si>
    <t>Scope 2 emissions</t>
  </si>
  <si>
    <t>Scope 3 emissions</t>
  </si>
  <si>
    <t>Total Energy</t>
  </si>
  <si>
    <t>t C/unit</t>
  </si>
  <si>
    <t>GJ/unit</t>
  </si>
  <si>
    <r>
      <t>t CO</t>
    </r>
    <r>
      <rPr>
        <vertAlign val="subscript"/>
        <sz val="8"/>
        <rFont val="Arial"/>
        <family val="2"/>
      </rPr>
      <t>2</t>
    </r>
    <r>
      <rPr>
        <sz val="8"/>
        <rFont val="Arial"/>
        <family val="2"/>
      </rPr>
      <t>/unit</t>
    </r>
  </si>
  <si>
    <r>
      <t>t CO</t>
    </r>
    <r>
      <rPr>
        <vertAlign val="subscript"/>
        <sz val="8"/>
        <rFont val="Arial"/>
        <family val="2"/>
      </rPr>
      <t>2</t>
    </r>
  </si>
  <si>
    <t>TJ</t>
  </si>
  <si>
    <t>Iron ore</t>
  </si>
  <si>
    <t>dry t</t>
  </si>
  <si>
    <t>Coking coal</t>
  </si>
  <si>
    <t>BF injection coal</t>
  </si>
  <si>
    <t>Sinter/BOF coal</t>
  </si>
  <si>
    <t>Steam coal</t>
  </si>
  <si>
    <t>EAF coal</t>
  </si>
  <si>
    <t>SR/DRI coal</t>
  </si>
  <si>
    <t>Coke</t>
  </si>
  <si>
    <t>Charcoal</t>
  </si>
  <si>
    <t>Heavy oil</t>
  </si>
  <si>
    <r>
      <t>m</t>
    </r>
    <r>
      <rPr>
        <vertAlign val="superscript"/>
        <sz val="8"/>
        <rFont val="Arial"/>
        <family val="2"/>
      </rPr>
      <t>3</t>
    </r>
  </si>
  <si>
    <t>Light oil</t>
  </si>
  <si>
    <t>Kerosene</t>
  </si>
  <si>
    <t>LPG</t>
  </si>
  <si>
    <t>t</t>
  </si>
  <si>
    <t>LNG</t>
  </si>
  <si>
    <r>
      <t>k.m</t>
    </r>
    <r>
      <rPr>
        <vertAlign val="superscript"/>
        <sz val="8"/>
        <rFont val="Arial"/>
        <family val="2"/>
      </rPr>
      <t>3</t>
    </r>
    <r>
      <rPr>
        <sz val="8"/>
        <rFont val="Arial"/>
        <family val="2"/>
      </rPr>
      <t>N</t>
    </r>
  </si>
  <si>
    <t>Natural gas</t>
  </si>
  <si>
    <t>Limestone</t>
  </si>
  <si>
    <t>Burnt lime</t>
  </si>
  <si>
    <t>Crude dolomite</t>
  </si>
  <si>
    <t>Burnt dolomite</t>
  </si>
  <si>
    <t>Sinter</t>
  </si>
  <si>
    <t>Pellets</t>
  </si>
  <si>
    <t>EAF electrodes</t>
  </si>
  <si>
    <t>Pig Iron</t>
  </si>
  <si>
    <t>Cold Iron</t>
  </si>
  <si>
    <t>Ni pig iron</t>
  </si>
  <si>
    <t>Gas based DRI</t>
  </si>
  <si>
    <t>Coal based DRI</t>
  </si>
  <si>
    <t>Ferro-Nickel</t>
  </si>
  <si>
    <t>Nickel oxides</t>
  </si>
  <si>
    <t>Nickel metal</t>
  </si>
  <si>
    <t>Ferro-Chromium</t>
  </si>
  <si>
    <t>Molybdenum oxides</t>
  </si>
  <si>
    <t>Ferro-Manganese</t>
  </si>
  <si>
    <t>Electricity</t>
  </si>
  <si>
    <t>MWh</t>
  </si>
  <si>
    <t>Steam</t>
  </si>
  <si>
    <t>Oxygen</t>
  </si>
  <si>
    <t>Nitrogen</t>
  </si>
  <si>
    <t>Argon</t>
  </si>
  <si>
    <t>Blast furnace gas</t>
  </si>
  <si>
    <t>BOF gas</t>
  </si>
  <si>
    <t>CO2 to external use</t>
  </si>
  <si>
    <t>Coal tar</t>
  </si>
  <si>
    <t>Benzole</t>
  </si>
  <si>
    <t>Useful unit conversions</t>
  </si>
  <si>
    <t>Volume</t>
  </si>
  <si>
    <t>scf</t>
  </si>
  <si>
    <t>m3N</t>
  </si>
  <si>
    <t>gal</t>
  </si>
  <si>
    <t>m3</t>
  </si>
  <si>
    <t>Weight</t>
  </si>
  <si>
    <t>lb</t>
  </si>
  <si>
    <t>kg</t>
  </si>
  <si>
    <t>nt</t>
  </si>
  <si>
    <t>mt</t>
  </si>
  <si>
    <t>Energy</t>
  </si>
  <si>
    <t>mmBTU</t>
  </si>
  <si>
    <t>GJ</t>
  </si>
  <si>
    <t>mBTU/scf</t>
  </si>
  <si>
    <t>MJ/m3N</t>
  </si>
  <si>
    <t>mBTU/nt</t>
  </si>
  <si>
    <t>MJ/mt</t>
  </si>
  <si>
    <t>BTU/gal</t>
  </si>
  <si>
    <t>MJ/m3</t>
  </si>
  <si>
    <t>Sub Total</t>
  </si>
  <si>
    <t>Grand Total</t>
    <phoneticPr fontId="13" type="noConversion"/>
  </si>
  <si>
    <t>CO2 Intensity</t>
    <phoneticPr fontId="13" type="noConversion"/>
  </si>
  <si>
    <t>Energy Intensity</t>
    <phoneticPr fontId="13" type="noConversion"/>
  </si>
  <si>
    <t xml:space="preserve">CO2 Intensity </t>
    <phoneticPr fontId="13" type="noConversion"/>
  </si>
  <si>
    <t>w/ undecided credits</t>
  </si>
  <si>
    <t>Slags</t>
    <phoneticPr fontId="13" type="noConversion"/>
  </si>
  <si>
    <t>External CO2</t>
    <phoneticPr fontId="13" type="noConversion"/>
  </si>
  <si>
    <t xml:space="preserve">Sub Total </t>
    <phoneticPr fontId="13" type="noConversion"/>
  </si>
  <si>
    <t>w/o undecided credits</t>
    <phoneticPr fontId="13" type="noConversion"/>
  </si>
  <si>
    <t>tCO2</t>
    <phoneticPr fontId="13" type="noConversion"/>
  </si>
  <si>
    <t>tCO2/tCrudeSteel</t>
    <phoneticPr fontId="13" type="noConversion"/>
  </si>
  <si>
    <t>GJ/tCrudeSteel</t>
  </si>
  <si>
    <t>CI by Slags</t>
    <phoneticPr fontId="13" type="noConversion"/>
  </si>
  <si>
    <t>CI External CO2</t>
    <phoneticPr fontId="13" type="noConversion"/>
  </si>
  <si>
    <t>*Please do not change downloaded form</t>
  </si>
  <si>
    <t>Year(Report period):</t>
  </si>
  <si>
    <t>Materals
/Energies</t>
  </si>
  <si>
    <t>Total Steel Production (t)</t>
  </si>
  <si>
    <t>Sequestered CO2</t>
  </si>
  <si>
    <t>Sequestered CI</t>
  </si>
  <si>
    <t>Grand Total</t>
  </si>
  <si>
    <t xml:space="preserve">National or regional regulator mix </t>
  </si>
  <si>
    <t xml:space="preserve">Site power supply contract mix </t>
  </si>
  <si>
    <t>Source of information</t>
  </si>
  <si>
    <r>
      <t>t CO</t>
    </r>
    <r>
      <rPr>
        <vertAlign val="subscript"/>
        <sz val="8"/>
        <rFont val="Arial"/>
        <family val="2"/>
      </rPr>
      <t>2</t>
    </r>
    <r>
      <rPr>
        <sz val="8"/>
        <rFont val="Arial"/>
        <family val="2"/>
      </rPr>
      <t>/MWh</t>
    </r>
  </si>
  <si>
    <t>GJ/MWh</t>
  </si>
  <si>
    <t>Permanently sequestered CO2</t>
  </si>
  <si>
    <t>Coke oven gas</t>
  </si>
  <si>
    <t>Global average grid mix</t>
  </si>
  <si>
    <t>Electricity grid Information</t>
  </si>
  <si>
    <t>Low carbon DRI</t>
  </si>
  <si>
    <t>Fill-in if available</t>
  </si>
  <si>
    <t>IEA yearly update global grid mix</t>
  </si>
  <si>
    <t>Ferro-Silicon</t>
  </si>
  <si>
    <t>Silico-Manganese</t>
  </si>
  <si>
    <t>Ferro-Molybdenum</t>
  </si>
  <si>
    <t>EAF slag</t>
  </si>
  <si>
    <t>Waste heat</t>
  </si>
  <si>
    <t>Petroleum coke</t>
  </si>
  <si>
    <t>Green hydrogen</t>
  </si>
  <si>
    <t>Blue hydrogen</t>
  </si>
  <si>
    <t>Grey hydrogen</t>
  </si>
  <si>
    <t>Charcoal based pig iron</t>
  </si>
  <si>
    <t>Biomass</t>
  </si>
  <si>
    <t>BF slag</t>
  </si>
  <si>
    <t>BOF slag</t>
  </si>
  <si>
    <t>Low carbon iron units</t>
  </si>
  <si>
    <t>Ammonia</t>
  </si>
  <si>
    <t xml:space="preserve">Ethanol </t>
  </si>
  <si>
    <t>Methanol</t>
  </si>
  <si>
    <t>Fossil free biogas</t>
  </si>
  <si>
    <t>New</t>
  </si>
  <si>
    <t>Consolidated</t>
  </si>
  <si>
    <t>Extended</t>
  </si>
  <si>
    <t>Silicon (Metal)</t>
  </si>
  <si>
    <t>Used tires</t>
  </si>
  <si>
    <t>Used plastic</t>
  </si>
  <si>
    <t>Argon/Oxy Decarb</t>
  </si>
  <si>
    <t>Vacuum Oxy Decarb</t>
  </si>
  <si>
    <t>CCU Products</t>
  </si>
  <si>
    <t>tCO2/tCrudeSteel</t>
  </si>
  <si>
    <t>tCO2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</si>
</sst>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000"/>
    <numFmt numFmtId="166" formatCode="#,##0.00000"/>
    <numFmt numFmtId="167" formatCode="#,##0.000000"/>
    <numFmt numFmtId="168" formatCode="_-* #,##0_-;\-* #,##0_-;_-* &quot;-&quot;??_-;_-@_-"/>
    <numFmt numFmtId="169" formatCode="0.000"/>
  </numFmts>
  <fonts count="21">
    <font>
      <sz val="11"/>
      <color theme="1"/>
      <name val="Open Sans"/>
      <family val="2"/>
      <scheme val="minor"/>
    </font>
    <font>
      <sz val="11"/>
      <color theme="1"/>
      <name val="Open Sans"/>
      <family val="2"/>
      <scheme val="minor"/>
    </font>
    <font>
      <sz val="8"/>
      <name val="Comic Sans MS"/>
      <family val="4"/>
    </font>
    <font>
      <sz val="14"/>
      <name val="Arial"/>
      <family val="2"/>
    </font>
    <font>
      <vertAlign val="subscript"/>
      <sz val="14"/>
      <name val="Arial"/>
      <family val="2"/>
    </font>
    <font>
      <sz val="8"/>
      <name val="Arial"/>
      <family val="2"/>
    </font>
    <font>
      <sz val="12"/>
      <name val="Arial"/>
      <family val="2"/>
    </font>
    <font>
      <sz val="8"/>
      <color indexed="9"/>
      <name val="Arial"/>
      <family val="2"/>
    </font>
    <font>
      <vertAlign val="superscript"/>
      <sz val="8"/>
      <name val="Arial"/>
      <family val="2"/>
    </font>
    <font>
      <vertAlign val="subscript"/>
      <sz val="8"/>
      <name val="Arial"/>
      <family val="2"/>
    </font>
    <font>
      <b/>
      <i/>
      <sz val="11"/>
      <color indexed="10"/>
      <name val="Arial"/>
      <family val="2"/>
    </font>
    <font>
      <sz val="8"/>
      <color theme="1"/>
      <name val="Arial"/>
      <family val="2"/>
    </font>
    <font>
      <sz val="8"/>
      <color theme="0" tint="-0.14999847407452621"/>
      <name val="Arial"/>
      <family val="2"/>
    </font>
    <font>
      <sz val="8"/>
      <name val="Open Sans"/>
      <family val="3"/>
      <charset val="129"/>
      <scheme val="minor"/>
    </font>
    <font>
      <b/>
      <sz val="8"/>
      <color theme="1"/>
      <name val="Arial"/>
      <family val="2"/>
    </font>
    <font>
      <sz val="9"/>
      <name val="Arial"/>
      <family val="2"/>
    </font>
    <font>
      <b/>
      <sz val="8"/>
      <name val="Arial"/>
      <family val="2"/>
    </font>
    <font>
      <sz val="8"/>
      <color rgb="FFFF0000"/>
      <name val="Arial"/>
      <family val="2"/>
    </font>
    <font>
      <sz val="8"/>
      <name val="Open Sans"/>
      <family val="2"/>
      <scheme val="minor"/>
    </font>
    <font>
      <sz val="12"/>
      <color rgb="FF000000"/>
      <name val="Arial"/>
      <family val="2"/>
    </font>
    <font>
      <sz val="8"/>
      <color theme="6" tint="0.39997558519241921"/>
      <name val="Arial"/>
      <family val="2"/>
    </font>
  </fonts>
  <fills count="9">
    <fill>
      <patternFill patternType="none"/>
    </fill>
    <fill>
      <patternFill patternType="gray125"/>
    </fill>
    <fill>
      <patternFill patternType="solid">
        <fgColor indexed="26"/>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7EBF7"/>
        <bgColor indexed="64"/>
      </patternFill>
    </fill>
    <fill>
      <patternFill patternType="solid">
        <fgColor rgb="FFEDEDED"/>
        <bgColor indexed="64"/>
      </patternFill>
    </fill>
    <fill>
      <patternFill patternType="solid">
        <fgColor theme="2" tint="-9.9978637043366805E-2"/>
        <bgColor indexed="64"/>
      </patternFill>
    </fill>
  </fills>
  <borders count="98">
    <border>
      <left/>
      <right/>
      <top/>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thin">
        <color indexed="64"/>
      </right>
      <top/>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thin">
        <color indexed="64"/>
      </right>
      <top style="hair">
        <color indexed="64"/>
      </top>
      <bottom style="thin">
        <color indexed="64"/>
      </bottom>
      <diagonal/>
    </border>
    <border>
      <left style="thin">
        <color indexed="64"/>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style="dashed">
        <color indexed="64"/>
      </left>
      <right style="thin">
        <color indexed="64"/>
      </right>
      <top/>
      <bottom style="hair">
        <color indexed="64"/>
      </bottom>
      <diagonal/>
    </border>
    <border>
      <left style="thin">
        <color indexed="64"/>
      </left>
      <right style="dashed">
        <color indexed="64"/>
      </right>
      <top/>
      <bottom/>
      <diagonal/>
    </border>
    <border>
      <left style="dashed">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dashed">
        <color indexed="64"/>
      </right>
      <top/>
      <bottom style="hair">
        <color indexed="64"/>
      </bottom>
      <diagonal/>
    </border>
    <border>
      <left style="thin">
        <color indexed="64"/>
      </left>
      <right style="thin">
        <color indexed="64"/>
      </right>
      <top/>
      <bottom style="thin">
        <color indexed="64"/>
      </bottom>
      <diagonal/>
    </border>
    <border>
      <left style="thin">
        <color indexed="64"/>
      </left>
      <right style="dashed">
        <color indexed="64"/>
      </right>
      <top style="hair">
        <color indexed="64"/>
      </top>
      <bottom/>
      <diagonal/>
    </border>
    <border>
      <left style="dashed">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hair">
        <color indexed="64"/>
      </bottom>
      <diagonal/>
    </border>
    <border>
      <left style="dotted">
        <color indexed="64"/>
      </left>
      <right/>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style="dotted">
        <color indexed="64"/>
      </right>
      <top style="thin">
        <color indexed="64"/>
      </top>
      <bottom/>
      <diagonal/>
    </border>
    <border>
      <left style="dotted">
        <color indexed="64"/>
      </left>
      <right/>
      <top style="hair">
        <color indexed="64"/>
      </top>
      <bottom/>
      <diagonal/>
    </border>
    <border>
      <left style="thin">
        <color indexed="64"/>
      </left>
      <right/>
      <top/>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style="dashed">
        <color indexed="64"/>
      </right>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hair">
        <color indexed="64"/>
      </top>
      <bottom style="thin">
        <color indexed="64"/>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ashed">
        <color indexed="64"/>
      </left>
      <right/>
      <top style="thin">
        <color indexed="64"/>
      </top>
      <bottom style="hair">
        <color indexed="64"/>
      </bottom>
      <diagonal/>
    </border>
    <border>
      <left style="dashed">
        <color indexed="64"/>
      </left>
      <right/>
      <top/>
      <bottom style="hair">
        <color indexed="64"/>
      </bottom>
      <diagonal/>
    </border>
    <border>
      <left style="dashed">
        <color indexed="64"/>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hair">
        <color indexed="64"/>
      </bottom>
      <diagonal/>
    </border>
    <border>
      <left style="dotted">
        <color indexed="64"/>
      </left>
      <right style="dotted">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dotted">
        <color indexed="64"/>
      </right>
      <top style="hair">
        <color indexed="64"/>
      </top>
      <bottom style="hair">
        <color indexed="64"/>
      </bottom>
      <diagonal/>
    </border>
    <border>
      <left/>
      <right/>
      <top style="thin">
        <color indexed="64"/>
      </top>
      <bottom style="hair">
        <color indexed="64"/>
      </bottom>
      <diagonal/>
    </border>
    <border>
      <left/>
      <right style="dotted">
        <color indexed="64"/>
      </right>
      <top style="thin">
        <color indexed="64"/>
      </top>
      <bottom/>
      <diagonal/>
    </border>
    <border>
      <left/>
      <right style="dotted">
        <color indexed="64"/>
      </right>
      <top/>
      <bottom/>
      <diagonal/>
    </border>
    <border>
      <left style="thin">
        <color indexed="64"/>
      </left>
      <right style="dotted">
        <color indexed="64"/>
      </right>
      <top/>
      <bottom/>
      <diagonal/>
    </border>
  </borders>
  <cellStyleXfs count="6">
    <xf numFmtId="0" fontId="0" fillId="0" borderId="0"/>
    <xf numFmtId="43" fontId="1" fillId="0" borderId="0" applyFont="0" applyFill="0" applyBorder="0" applyAlignment="0" applyProtection="0"/>
    <xf numFmtId="3" fontId="2" fillId="0" borderId="0">
      <alignment vertical="center"/>
    </xf>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374">
    <xf numFmtId="0" fontId="0" fillId="0" borderId="0" xfId="0"/>
    <xf numFmtId="3" fontId="2" fillId="0" borderId="0" xfId="2">
      <alignment vertical="center"/>
    </xf>
    <xf numFmtId="3" fontId="5" fillId="0" borderId="0" xfId="2" applyFont="1">
      <alignment vertical="center"/>
    </xf>
    <xf numFmtId="3" fontId="6" fillId="0" borderId="0" xfId="2" applyFont="1">
      <alignment vertical="center"/>
    </xf>
    <xf numFmtId="3" fontId="5" fillId="0" borderId="0" xfId="2" applyFont="1" applyAlignment="1">
      <alignment horizontal="right" vertical="center"/>
    </xf>
    <xf numFmtId="3" fontId="7" fillId="0" borderId="0" xfId="2" applyFont="1" applyProtection="1">
      <alignment vertical="center"/>
      <protection locked="0"/>
    </xf>
    <xf numFmtId="1" fontId="6" fillId="0" borderId="0" xfId="2" applyNumberFormat="1" applyFont="1">
      <alignment vertical="center"/>
    </xf>
    <xf numFmtId="3" fontId="5" fillId="0" borderId="0" xfId="2" applyFont="1" applyFill="1" applyBorder="1" applyAlignment="1" applyProtection="1">
      <alignment horizontal="center" vertical="center"/>
      <protection locked="0"/>
    </xf>
    <xf numFmtId="3" fontId="5" fillId="0" borderId="0" xfId="2" applyFont="1" applyFill="1">
      <alignment vertical="center"/>
    </xf>
    <xf numFmtId="3" fontId="5" fillId="0" borderId="0" xfId="2" applyFont="1" applyFill="1" applyBorder="1" applyAlignment="1">
      <alignment horizontal="left" vertical="center" indent="1"/>
    </xf>
    <xf numFmtId="3" fontId="5" fillId="0" borderId="0" xfId="2" applyFont="1" applyBorder="1" applyAlignment="1">
      <alignment horizontal="left" vertical="center" indent="1"/>
    </xf>
    <xf numFmtId="3" fontId="5" fillId="0" borderId="27" xfId="2" applyFont="1" applyBorder="1" applyAlignment="1">
      <alignment horizontal="left" vertical="center" indent="1"/>
    </xf>
    <xf numFmtId="3" fontId="5" fillId="0" borderId="1" xfId="2" applyFont="1" applyBorder="1" applyAlignment="1">
      <alignment horizontal="right" vertical="center" indent="1"/>
    </xf>
    <xf numFmtId="3" fontId="5" fillId="0" borderId="2" xfId="2" applyFont="1" applyBorder="1" applyAlignment="1">
      <alignment horizontal="left" vertical="center" indent="1"/>
    </xf>
    <xf numFmtId="167" fontId="5" fillId="0" borderId="1" xfId="2" applyNumberFormat="1" applyFont="1" applyBorder="1" applyAlignment="1">
      <alignment horizontal="right" vertical="center" indent="1"/>
    </xf>
    <xf numFmtId="166" fontId="5" fillId="0" borderId="0" xfId="2" applyNumberFormat="1" applyFont="1">
      <alignment vertical="center"/>
    </xf>
    <xf numFmtId="3" fontId="5" fillId="0" borderId="5" xfId="2" applyFont="1" applyBorder="1" applyAlignment="1">
      <alignment horizontal="left" vertical="center" indent="1"/>
    </xf>
    <xf numFmtId="3" fontId="5" fillId="0" borderId="16" xfId="2" applyFont="1" applyBorder="1" applyAlignment="1">
      <alignment horizontal="right" vertical="center" indent="1"/>
    </xf>
    <xf numFmtId="3" fontId="5" fillId="0" borderId="17" xfId="2" applyFont="1" applyBorder="1" applyAlignment="1">
      <alignment horizontal="left" vertical="center" indent="1"/>
    </xf>
    <xf numFmtId="167" fontId="5" fillId="0" borderId="16" xfId="2" applyNumberFormat="1" applyFont="1" applyBorder="1" applyAlignment="1">
      <alignment horizontal="right" vertical="center" indent="1"/>
    </xf>
    <xf numFmtId="4" fontId="5" fillId="0" borderId="0" xfId="2" applyNumberFormat="1" applyFont="1">
      <alignment vertical="center"/>
    </xf>
    <xf numFmtId="165" fontId="5" fillId="0" borderId="0" xfId="2" applyNumberFormat="1" applyFont="1">
      <alignment vertical="center"/>
    </xf>
    <xf numFmtId="3" fontId="5" fillId="0" borderId="24" xfId="2" applyFont="1" applyBorder="1" applyAlignment="1">
      <alignment horizontal="left" vertical="center" indent="1"/>
    </xf>
    <xf numFmtId="3" fontId="5" fillId="0" borderId="4" xfId="2" applyFont="1" applyBorder="1" applyAlignment="1">
      <alignment horizontal="right" vertical="center" indent="1"/>
    </xf>
    <xf numFmtId="3" fontId="5" fillId="0" borderId="3" xfId="2" applyFont="1" applyBorder="1" applyAlignment="1">
      <alignment horizontal="left" vertical="center" indent="1"/>
    </xf>
    <xf numFmtId="167" fontId="5" fillId="0" borderId="4" xfId="2" applyNumberFormat="1" applyFont="1" applyBorder="1" applyAlignment="1">
      <alignment horizontal="right" vertical="center" indent="1"/>
    </xf>
    <xf numFmtId="1" fontId="5" fillId="0" borderId="0" xfId="2" applyNumberFormat="1" applyFont="1" applyFill="1" applyBorder="1" applyAlignment="1">
      <alignment horizontal="center" vertical="center"/>
    </xf>
    <xf numFmtId="3" fontId="5" fillId="0" borderId="40" xfId="2" applyFont="1" applyBorder="1">
      <alignment vertical="center"/>
    </xf>
    <xf numFmtId="3" fontId="12" fillId="0" borderId="0" xfId="2" applyFont="1">
      <alignment vertical="center"/>
    </xf>
    <xf numFmtId="3" fontId="12" fillId="0" borderId="0" xfId="2" applyFont="1" applyBorder="1" applyAlignment="1">
      <alignment horizontal="center" vertical="center"/>
    </xf>
    <xf numFmtId="3" fontId="12" fillId="0" borderId="0" xfId="2" applyFont="1" applyFill="1">
      <alignment vertical="center"/>
    </xf>
    <xf numFmtId="3" fontId="5" fillId="3" borderId="0" xfId="2" applyFont="1" applyFill="1">
      <alignment vertical="center"/>
    </xf>
    <xf numFmtId="164" fontId="5" fillId="4" borderId="0" xfId="2" applyNumberFormat="1" applyFont="1" applyFill="1">
      <alignment vertical="center"/>
    </xf>
    <xf numFmtId="164" fontId="5" fillId="5" borderId="0" xfId="2" applyNumberFormat="1" applyFont="1" applyFill="1">
      <alignment vertical="center"/>
    </xf>
    <xf numFmtId="3" fontId="3" fillId="0" borderId="0" xfId="2" applyFont="1" applyAlignment="1">
      <alignment horizontal="center" vertical="center"/>
    </xf>
    <xf numFmtId="0" fontId="5" fillId="0" borderId="9" xfId="2" applyNumberFormat="1" applyFont="1" applyBorder="1" applyAlignment="1">
      <alignment horizontal="left" vertical="center" indent="1"/>
    </xf>
    <xf numFmtId="0" fontId="5" fillId="0" borderId="11" xfId="2" applyNumberFormat="1" applyFont="1" applyBorder="1" applyAlignment="1">
      <alignment horizontal="left" vertical="center" indent="1"/>
    </xf>
    <xf numFmtId="0" fontId="5" fillId="0" borderId="12" xfId="2" applyNumberFormat="1" applyFont="1" applyBorder="1" applyAlignment="1">
      <alignment horizontal="left" vertical="center" indent="1"/>
    </xf>
    <xf numFmtId="0" fontId="6" fillId="0" borderId="18" xfId="2" applyNumberFormat="1" applyFont="1" applyBorder="1">
      <alignment vertical="center"/>
    </xf>
    <xf numFmtId="0" fontId="6" fillId="0" borderId="19" xfId="2" applyNumberFormat="1" applyFont="1" applyBorder="1">
      <alignment vertical="center"/>
    </xf>
    <xf numFmtId="0" fontId="5" fillId="0" borderId="27" xfId="2" applyNumberFormat="1" applyFont="1" applyBorder="1" applyAlignment="1">
      <alignment horizontal="center" vertical="center" wrapText="1"/>
    </xf>
    <xf numFmtId="0" fontId="5" fillId="0" borderId="5" xfId="2" applyNumberFormat="1" applyFont="1" applyBorder="1" applyAlignment="1">
      <alignment horizontal="center" vertical="center" wrapText="1"/>
    </xf>
    <xf numFmtId="0" fontId="5" fillId="0" borderId="2" xfId="2" applyNumberFormat="1" applyFont="1" applyBorder="1" applyAlignment="1">
      <alignment horizontal="center" vertical="center" wrapText="1"/>
    </xf>
    <xf numFmtId="0" fontId="5" fillId="0" borderId="1" xfId="2"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wrapText="1"/>
    </xf>
    <xf numFmtId="0" fontId="5" fillId="0" borderId="24" xfId="2" applyNumberFormat="1" applyFont="1" applyBorder="1" applyAlignment="1">
      <alignment horizontal="center" vertical="center" wrapText="1"/>
    </xf>
    <xf numFmtId="0" fontId="5" fillId="0" borderId="4" xfId="2" applyNumberFormat="1" applyFont="1" applyBorder="1" applyAlignment="1">
      <alignment horizontal="center" vertical="center" wrapText="1"/>
    </xf>
    <xf numFmtId="0" fontId="5" fillId="0" borderId="3" xfId="2" applyNumberFormat="1" applyFont="1" applyBorder="1" applyAlignment="1">
      <alignment horizontal="center" vertical="center" wrapText="1"/>
    </xf>
    <xf numFmtId="0" fontId="5" fillId="0" borderId="0" xfId="2" applyNumberFormat="1" applyFont="1" applyAlignment="1">
      <alignment horizontal="center" vertical="center" wrapText="1"/>
    </xf>
    <xf numFmtId="0" fontId="12" fillId="0" borderId="0" xfId="2" applyNumberFormat="1" applyFont="1" applyAlignment="1">
      <alignment horizontal="center" vertical="center" wrapText="1"/>
    </xf>
    <xf numFmtId="0" fontId="5" fillId="0" borderId="0" xfId="2" applyNumberFormat="1" applyFont="1" applyAlignment="1">
      <alignment horizontal="right" vertical="center" wrapText="1"/>
    </xf>
    <xf numFmtId="0" fontId="5" fillId="0" borderId="23" xfId="2" applyNumberFormat="1" applyFont="1" applyBorder="1">
      <alignment vertical="center"/>
    </xf>
    <xf numFmtId="0" fontId="5" fillId="0" borderId="15" xfId="2" applyNumberFormat="1" applyFont="1" applyBorder="1" applyAlignment="1">
      <alignment horizontal="center" vertical="center"/>
    </xf>
    <xf numFmtId="0" fontId="5" fillId="0" borderId="0" xfId="2" applyNumberFormat="1" applyFont="1">
      <alignment vertical="center"/>
    </xf>
    <xf numFmtId="0" fontId="5" fillId="0" borderId="11" xfId="2" applyNumberFormat="1" applyFont="1" applyBorder="1">
      <alignment vertical="center"/>
    </xf>
    <xf numFmtId="0" fontId="5" fillId="0" borderId="7" xfId="2" applyNumberFormat="1" applyFont="1" applyBorder="1" applyAlignment="1">
      <alignment horizontal="center" vertical="center"/>
    </xf>
    <xf numFmtId="0" fontId="5" fillId="0" borderId="12" xfId="2" applyNumberFormat="1" applyFont="1" applyBorder="1">
      <alignment vertical="center"/>
    </xf>
    <xf numFmtId="0" fontId="5" fillId="0" borderId="8" xfId="2" applyNumberFormat="1" applyFont="1" applyBorder="1" applyAlignment="1">
      <alignment horizontal="center" vertical="center"/>
    </xf>
    <xf numFmtId="0" fontId="5" fillId="0" borderId="11" xfId="2" applyNumberFormat="1" applyFont="1" applyFill="1" applyBorder="1">
      <alignment vertical="center"/>
    </xf>
    <xf numFmtId="0" fontId="5" fillId="0" borderId="12" xfId="2" applyNumberFormat="1" applyFont="1" applyFill="1" applyBorder="1">
      <alignment vertical="center"/>
    </xf>
    <xf numFmtId="0" fontId="5" fillId="0" borderId="23" xfId="2" applyNumberFormat="1" applyFont="1" applyFill="1" applyBorder="1">
      <alignment vertical="center"/>
    </xf>
    <xf numFmtId="0" fontId="5" fillId="0" borderId="8" xfId="2" applyNumberFormat="1" applyFont="1" applyFill="1" applyBorder="1" applyAlignment="1">
      <alignment horizontal="center" vertical="center"/>
    </xf>
    <xf numFmtId="0" fontId="5" fillId="0" borderId="7" xfId="2" applyNumberFormat="1" applyFont="1" applyFill="1" applyBorder="1" applyAlignment="1">
      <alignment horizontal="center" vertical="center"/>
    </xf>
    <xf numFmtId="0" fontId="5" fillId="0" borderId="25" xfId="2" applyNumberFormat="1" applyFont="1" applyFill="1" applyBorder="1">
      <alignment vertical="center"/>
    </xf>
    <xf numFmtId="0" fontId="5" fillId="0" borderId="4" xfId="2" applyNumberFormat="1" applyFont="1" applyBorder="1">
      <alignment vertical="center"/>
    </xf>
    <xf numFmtId="0" fontId="5" fillId="0" borderId="3" xfId="2" applyNumberFormat="1" applyFont="1" applyBorder="1" applyAlignment="1">
      <alignment horizontal="center" vertical="center"/>
    </xf>
    <xf numFmtId="0" fontId="5" fillId="0" borderId="4" xfId="2" applyNumberFormat="1" applyFont="1" applyFill="1" applyBorder="1">
      <alignment vertical="center"/>
    </xf>
    <xf numFmtId="3" fontId="5" fillId="0" borderId="9" xfId="2" applyFont="1" applyBorder="1" applyAlignment="1">
      <alignment horizontal="left" vertical="center"/>
    </xf>
    <xf numFmtId="3" fontId="5" fillId="0" borderId="11" xfId="2" applyFont="1" applyBorder="1" applyAlignment="1">
      <alignment horizontal="left" vertical="center"/>
    </xf>
    <xf numFmtId="0" fontId="5" fillId="0" borderId="46" xfId="2" applyNumberFormat="1" applyFont="1" applyBorder="1" applyAlignment="1">
      <alignment horizontal="center" vertical="center" wrapText="1"/>
    </xf>
    <xf numFmtId="0" fontId="5" fillId="0" borderId="45" xfId="2" applyNumberFormat="1" applyFont="1" applyBorder="1" applyAlignment="1">
      <alignment horizontal="center" vertical="center" wrapText="1"/>
    </xf>
    <xf numFmtId="0" fontId="5" fillId="0" borderId="51" xfId="2" applyNumberFormat="1" applyFont="1" applyBorder="1" applyAlignment="1">
      <alignment horizontal="center" vertical="center" wrapText="1"/>
    </xf>
    <xf numFmtId="0" fontId="5" fillId="0" borderId="52" xfId="2" applyNumberFormat="1" applyFont="1" applyBorder="1" applyAlignment="1">
      <alignment horizontal="center" vertical="center" wrapText="1"/>
    </xf>
    <xf numFmtId="0" fontId="5" fillId="0" borderId="56" xfId="2" applyNumberFormat="1" applyFont="1" applyBorder="1" applyAlignment="1">
      <alignment horizontal="center" vertical="center" wrapText="1"/>
    </xf>
    <xf numFmtId="0" fontId="5" fillId="0" borderId="57" xfId="2" applyNumberFormat="1" applyFont="1" applyBorder="1" applyAlignment="1">
      <alignment horizontal="center" vertical="center" wrapText="1"/>
    </xf>
    <xf numFmtId="0" fontId="5" fillId="0" borderId="62" xfId="2" applyNumberFormat="1" applyFont="1" applyBorder="1" applyAlignment="1">
      <alignment horizontal="center" vertical="center" wrapText="1"/>
    </xf>
    <xf numFmtId="0" fontId="5" fillId="0" borderId="44" xfId="2" applyNumberFormat="1" applyFont="1" applyBorder="1" applyAlignment="1">
      <alignment horizontal="center" vertical="center" wrapText="1"/>
    </xf>
    <xf numFmtId="0" fontId="5" fillId="0" borderId="56" xfId="2" applyNumberFormat="1" applyFont="1" applyFill="1" applyBorder="1" applyAlignment="1">
      <alignment horizontal="center" vertical="center" wrapText="1"/>
    </xf>
    <xf numFmtId="3" fontId="11" fillId="2" borderId="14" xfId="2" applyFont="1" applyFill="1" applyBorder="1" applyAlignment="1" applyProtection="1">
      <alignment horizontal="center" vertical="center"/>
      <protection locked="0"/>
    </xf>
    <xf numFmtId="168" fontId="11" fillId="4" borderId="53" xfId="1" applyNumberFormat="1" applyFont="1" applyFill="1" applyBorder="1" applyAlignment="1" applyProtection="1">
      <alignment horizontal="right" vertical="center" indent="1"/>
    </xf>
    <xf numFmtId="168" fontId="11" fillId="4" borderId="58" xfId="1" applyNumberFormat="1" applyFont="1" applyFill="1" applyBorder="1" applyAlignment="1" applyProtection="1">
      <alignment horizontal="center" vertical="center" wrapText="1"/>
    </xf>
    <xf numFmtId="168" fontId="11" fillId="4" borderId="30" xfId="1" applyNumberFormat="1" applyFont="1" applyFill="1" applyBorder="1" applyAlignment="1" applyProtection="1">
      <alignment horizontal="right" vertical="center" indent="1"/>
    </xf>
    <xf numFmtId="168" fontId="11" fillId="4" borderId="59" xfId="1" applyNumberFormat="1" applyFont="1" applyFill="1" applyBorder="1" applyAlignment="1" applyProtection="1">
      <alignment horizontal="right" vertical="center" indent="1"/>
    </xf>
    <xf numFmtId="168" fontId="11" fillId="4" borderId="48" xfId="1" applyNumberFormat="1" applyFont="1" applyFill="1" applyBorder="1" applyAlignment="1" applyProtection="1">
      <alignment horizontal="right" vertical="center" indent="1"/>
    </xf>
    <xf numFmtId="168" fontId="11" fillId="4" borderId="7" xfId="1" applyNumberFormat="1" applyFont="1" applyFill="1" applyBorder="1" applyAlignment="1" applyProtection="1">
      <alignment horizontal="right" vertical="center" indent="1"/>
    </xf>
    <xf numFmtId="168" fontId="11" fillId="4" borderId="61" xfId="1" applyNumberFormat="1" applyFont="1" applyFill="1" applyBorder="1" applyAlignment="1" applyProtection="1">
      <alignment horizontal="right" vertical="center" indent="1"/>
    </xf>
    <xf numFmtId="168" fontId="11" fillId="4" borderId="55" xfId="1" applyNumberFormat="1" applyFont="1" applyFill="1" applyBorder="1" applyAlignment="1" applyProtection="1">
      <alignment horizontal="right" vertical="center" indent="1"/>
    </xf>
    <xf numFmtId="168" fontId="11" fillId="4" borderId="60" xfId="1" applyNumberFormat="1" applyFont="1" applyFill="1" applyBorder="1" applyAlignment="1" applyProtection="1">
      <alignment horizontal="right" vertical="center" indent="1"/>
    </xf>
    <xf numFmtId="168" fontId="11" fillId="4" borderId="49" xfId="1" applyNumberFormat="1" applyFont="1" applyFill="1" applyBorder="1" applyAlignment="1" applyProtection="1">
      <alignment horizontal="right" vertical="center" indent="1"/>
    </xf>
    <xf numFmtId="168" fontId="11" fillId="4" borderId="8" xfId="1" applyNumberFormat="1" applyFont="1" applyFill="1" applyBorder="1" applyAlignment="1" applyProtection="1">
      <alignment horizontal="right" vertical="center" indent="1"/>
    </xf>
    <xf numFmtId="168" fontId="11" fillId="4" borderId="54" xfId="1" applyNumberFormat="1" applyFont="1" applyFill="1" applyBorder="1" applyAlignment="1" applyProtection="1">
      <alignment horizontal="right" vertical="center" indent="1"/>
    </xf>
    <xf numFmtId="168" fontId="11" fillId="4" borderId="15" xfId="1" applyNumberFormat="1" applyFont="1" applyFill="1" applyBorder="1" applyAlignment="1" applyProtection="1">
      <alignment horizontal="right" vertical="center" indent="1"/>
    </xf>
    <xf numFmtId="168" fontId="11" fillId="4" borderId="50" xfId="1" applyNumberFormat="1" applyFont="1" applyFill="1" applyBorder="1" applyAlignment="1" applyProtection="1">
      <alignment horizontal="right" vertical="center" indent="1"/>
    </xf>
    <xf numFmtId="168" fontId="11" fillId="4" borderId="63" xfId="1" applyNumberFormat="1" applyFont="1" applyFill="1" applyBorder="1" applyAlignment="1" applyProtection="1">
      <alignment horizontal="right" vertical="center" indent="1"/>
    </xf>
    <xf numFmtId="168" fontId="11" fillId="4" borderId="57" xfId="1" applyNumberFormat="1" applyFont="1" applyFill="1" applyBorder="1" applyAlignment="1" applyProtection="1">
      <alignment horizontal="right" vertical="center" indent="1"/>
    </xf>
    <xf numFmtId="168" fontId="11" fillId="4" borderId="42" xfId="1" applyNumberFormat="1" applyFont="1" applyFill="1" applyBorder="1" applyAlignment="1" applyProtection="1">
      <alignment horizontal="right" vertical="center" indent="1"/>
    </xf>
    <xf numFmtId="168" fontId="11" fillId="4" borderId="13" xfId="1" applyNumberFormat="1" applyFont="1" applyFill="1" applyBorder="1" applyAlignment="1" applyProtection="1">
      <alignment horizontal="right" vertical="center" indent="1"/>
    </xf>
    <xf numFmtId="3" fontId="5" fillId="0" borderId="14" xfId="2" applyFont="1" applyBorder="1" applyAlignment="1">
      <alignment vertical="center"/>
    </xf>
    <xf numFmtId="3" fontId="5" fillId="0" borderId="28" xfId="2" applyFont="1" applyBorder="1">
      <alignment vertical="center"/>
    </xf>
    <xf numFmtId="3" fontId="5" fillId="0" borderId="28" xfId="2" applyFont="1" applyBorder="1" applyAlignment="1">
      <alignment vertical="center"/>
    </xf>
    <xf numFmtId="168" fontId="11" fillId="4" borderId="28" xfId="1" applyNumberFormat="1" applyFont="1" applyFill="1" applyBorder="1" applyAlignment="1" applyProtection="1">
      <alignment horizontal="right" vertical="center" indent="1"/>
    </xf>
    <xf numFmtId="0" fontId="0" fillId="0" borderId="0" xfId="0" applyBorder="1"/>
    <xf numFmtId="3" fontId="5" fillId="0" borderId="0" xfId="2" applyFont="1" applyBorder="1" applyAlignment="1">
      <alignment vertical="center"/>
    </xf>
    <xf numFmtId="3" fontId="2" fillId="0" borderId="0" xfId="2" applyBorder="1">
      <alignment vertical="center"/>
    </xf>
    <xf numFmtId="0" fontId="0" fillId="0" borderId="0" xfId="0" applyFill="1" applyBorder="1"/>
    <xf numFmtId="168" fontId="11" fillId="0" borderId="0" xfId="3" applyNumberFormat="1" applyFont="1" applyFill="1" applyBorder="1" applyAlignment="1">
      <alignment vertical="center"/>
    </xf>
    <xf numFmtId="3" fontId="5" fillId="0" borderId="0" xfId="2" applyFont="1" applyFill="1" applyBorder="1" applyAlignment="1">
      <alignment vertical="center"/>
    </xf>
    <xf numFmtId="3" fontId="2" fillId="0" borderId="0" xfId="2" applyFill="1" applyBorder="1">
      <alignment vertical="center"/>
    </xf>
    <xf numFmtId="3" fontId="5" fillId="0" borderId="24" xfId="2" applyFont="1" applyBorder="1">
      <alignment vertical="center"/>
    </xf>
    <xf numFmtId="3" fontId="5" fillId="0" borderId="24" xfId="2" applyFont="1" applyBorder="1" applyAlignment="1">
      <alignment vertical="center"/>
    </xf>
    <xf numFmtId="0" fontId="0" fillId="0" borderId="64" xfId="0" applyBorder="1"/>
    <xf numFmtId="168" fontId="11" fillId="0" borderId="14" xfId="1" applyNumberFormat="1" applyFont="1" applyFill="1" applyBorder="1" applyAlignment="1" applyProtection="1">
      <alignment horizontal="right" vertical="center" indent="1"/>
    </xf>
    <xf numFmtId="168" fontId="11" fillId="0" borderId="19" xfId="1" applyNumberFormat="1" applyFont="1" applyFill="1" applyBorder="1" applyAlignment="1" applyProtection="1">
      <alignment horizontal="right" vertical="center" indent="1"/>
    </xf>
    <xf numFmtId="43" fontId="11" fillId="4" borderId="69" xfId="3" applyNumberFormat="1" applyFont="1" applyFill="1" applyBorder="1" applyAlignment="1">
      <alignment vertical="center"/>
    </xf>
    <xf numFmtId="3" fontId="5" fillId="0" borderId="40" xfId="2" applyFont="1" applyBorder="1" applyAlignment="1">
      <alignment vertical="center"/>
    </xf>
    <xf numFmtId="168" fontId="14" fillId="4" borderId="70" xfId="1" applyNumberFormat="1" applyFont="1" applyFill="1" applyBorder="1" applyAlignment="1" applyProtection="1">
      <alignment horizontal="right" vertical="center" indent="1"/>
    </xf>
    <xf numFmtId="168" fontId="14" fillId="4" borderId="71" xfId="1" applyNumberFormat="1" applyFont="1" applyFill="1" applyBorder="1" applyAlignment="1" applyProtection="1">
      <alignment horizontal="right" vertical="center" indent="1"/>
    </xf>
    <xf numFmtId="43" fontId="14" fillId="4" borderId="70" xfId="3" applyNumberFormat="1" applyFont="1" applyFill="1" applyBorder="1" applyAlignment="1">
      <alignment vertical="center"/>
    </xf>
    <xf numFmtId="3" fontId="15" fillId="0" borderId="0" xfId="2" applyFont="1" applyAlignment="1">
      <alignment horizontal="left" vertical="center"/>
    </xf>
    <xf numFmtId="169" fontId="11" fillId="5" borderId="47" xfId="2" applyNumberFormat="1" applyFont="1" applyFill="1" applyBorder="1" applyAlignment="1">
      <alignment horizontal="center" vertical="center" wrapText="1"/>
    </xf>
    <xf numFmtId="169" fontId="11" fillId="4" borderId="11" xfId="2" applyNumberFormat="1" applyFont="1" applyFill="1" applyBorder="1" applyAlignment="1">
      <alignment horizontal="right" vertical="center" indent="1"/>
    </xf>
    <xf numFmtId="169" fontId="11" fillId="5" borderId="10" xfId="2" applyNumberFormat="1" applyFont="1" applyFill="1" applyBorder="1" applyAlignment="1">
      <alignment horizontal="center" vertical="center" wrapText="1"/>
    </xf>
    <xf numFmtId="169" fontId="11" fillId="4" borderId="23" xfId="2" applyNumberFormat="1" applyFont="1" applyFill="1" applyBorder="1" applyAlignment="1">
      <alignment horizontal="right" vertical="center" indent="1"/>
    </xf>
    <xf numFmtId="169" fontId="11" fillId="5" borderId="15" xfId="2" applyNumberFormat="1" applyFont="1" applyFill="1" applyBorder="1" applyAlignment="1">
      <alignment horizontal="right" vertical="center" indent="1"/>
    </xf>
    <xf numFmtId="169" fontId="11" fillId="5" borderId="7" xfId="2" applyNumberFormat="1" applyFont="1" applyFill="1" applyBorder="1" applyAlignment="1">
      <alignment horizontal="right" vertical="center" indent="1"/>
    </xf>
    <xf numFmtId="169" fontId="11" fillId="5" borderId="8" xfId="2" applyNumberFormat="1" applyFont="1" applyFill="1" applyBorder="1" applyAlignment="1">
      <alignment horizontal="right" vertical="center" indent="1"/>
    </xf>
    <xf numFmtId="169" fontId="11" fillId="5" borderId="42" xfId="2" applyNumberFormat="1" applyFont="1" applyFill="1" applyBorder="1">
      <alignment vertical="center"/>
    </xf>
    <xf numFmtId="169" fontId="11" fillId="5" borderId="50" xfId="2" applyNumberFormat="1" applyFont="1" applyFill="1" applyBorder="1" applyAlignment="1">
      <alignment horizontal="right" vertical="center" indent="1"/>
    </xf>
    <xf numFmtId="169" fontId="11" fillId="5" borderId="11" xfId="2" applyNumberFormat="1" applyFont="1" applyFill="1" applyBorder="1" applyAlignment="1">
      <alignment horizontal="right" vertical="center" indent="1"/>
    </xf>
    <xf numFmtId="169" fontId="11" fillId="5" borderId="43" xfId="2" applyNumberFormat="1" applyFont="1" applyFill="1" applyBorder="1">
      <alignment vertical="center"/>
    </xf>
    <xf numFmtId="169" fontId="11" fillId="5" borderId="49" xfId="2" applyNumberFormat="1" applyFont="1" applyFill="1" applyBorder="1" applyAlignment="1">
      <alignment horizontal="right" vertical="center" indent="1"/>
    </xf>
    <xf numFmtId="169" fontId="11" fillId="5" borderId="12" xfId="2" applyNumberFormat="1" applyFont="1" applyFill="1" applyBorder="1" applyAlignment="1">
      <alignment horizontal="right" vertical="center" indent="1"/>
    </xf>
    <xf numFmtId="169" fontId="11" fillId="5" borderId="41" xfId="2" applyNumberFormat="1" applyFont="1" applyFill="1" applyBorder="1">
      <alignment vertical="center"/>
    </xf>
    <xf numFmtId="169" fontId="11" fillId="5" borderId="48" xfId="2" applyNumberFormat="1" applyFont="1" applyFill="1" applyBorder="1" applyAlignment="1">
      <alignment horizontal="right" vertical="center" indent="1"/>
    </xf>
    <xf numFmtId="169" fontId="11" fillId="5" borderId="23" xfId="2" applyNumberFormat="1" applyFont="1" applyFill="1" applyBorder="1" applyAlignment="1">
      <alignment horizontal="right" vertical="center" indent="1"/>
    </xf>
    <xf numFmtId="169" fontId="11" fillId="4" borderId="15" xfId="2" applyNumberFormat="1" applyFont="1" applyFill="1" applyBorder="1" applyAlignment="1">
      <alignment horizontal="right" vertical="center" indent="1"/>
    </xf>
    <xf numFmtId="169" fontId="11" fillId="5" borderId="26" xfId="2" applyNumberFormat="1" applyFont="1" applyFill="1" applyBorder="1" applyAlignment="1">
      <alignment horizontal="right" vertical="center" indent="1"/>
    </xf>
    <xf numFmtId="169" fontId="11" fillId="5" borderId="50" xfId="2" applyNumberFormat="1" applyFont="1" applyFill="1" applyBorder="1" applyAlignment="1" applyProtection="1">
      <alignment horizontal="right" vertical="center" indent="1"/>
      <protection locked="0"/>
    </xf>
    <xf numFmtId="169" fontId="11" fillId="5" borderId="44" xfId="2" applyNumberFormat="1" applyFont="1" applyFill="1" applyBorder="1">
      <alignment vertical="center"/>
    </xf>
    <xf numFmtId="169" fontId="11" fillId="5" borderId="4" xfId="2" applyNumberFormat="1" applyFont="1" applyFill="1" applyBorder="1">
      <alignment vertical="center"/>
    </xf>
    <xf numFmtId="169" fontId="11" fillId="5" borderId="23" xfId="2" applyNumberFormat="1" applyFont="1" applyFill="1" applyBorder="1">
      <alignment vertical="center"/>
    </xf>
    <xf numFmtId="169" fontId="11" fillId="5" borderId="11" xfId="2" applyNumberFormat="1" applyFont="1" applyFill="1" applyBorder="1">
      <alignment vertical="center"/>
    </xf>
    <xf numFmtId="169" fontId="11" fillId="5" borderId="42" xfId="2" applyNumberFormat="1" applyFont="1" applyFill="1" applyBorder="1" applyAlignment="1" applyProtection="1">
      <alignment horizontal="right" vertical="center" indent="1"/>
    </xf>
    <xf numFmtId="169" fontId="11" fillId="5" borderId="50" xfId="2" applyNumberFormat="1" applyFont="1" applyFill="1" applyBorder="1" applyAlignment="1" applyProtection="1">
      <alignment horizontal="right" vertical="center" indent="1"/>
    </xf>
    <xf numFmtId="169" fontId="11" fillId="5" borderId="43" xfId="2" applyNumberFormat="1" applyFont="1" applyFill="1" applyBorder="1" applyAlignment="1" applyProtection="1">
      <alignment horizontal="right" vertical="center" indent="1"/>
    </xf>
    <xf numFmtId="3" fontId="11" fillId="2" borderId="54" xfId="3" applyNumberFormat="1" applyFont="1" applyFill="1" applyBorder="1" applyAlignment="1" applyProtection="1">
      <alignment horizontal="right" vertical="center" indent="1"/>
      <protection locked="0"/>
    </xf>
    <xf numFmtId="3" fontId="11" fillId="2" borderId="59" xfId="3" applyNumberFormat="1" applyFont="1" applyFill="1" applyBorder="1" applyAlignment="1" applyProtection="1">
      <alignment horizontal="right" vertical="center" indent="1"/>
      <protection locked="0"/>
    </xf>
    <xf numFmtId="3" fontId="11" fillId="2" borderId="55" xfId="3" applyNumberFormat="1" applyFont="1" applyFill="1" applyBorder="1" applyAlignment="1" applyProtection="1">
      <alignment horizontal="right" vertical="center" indent="1"/>
      <protection locked="0"/>
    </xf>
    <xf numFmtId="3" fontId="11" fillId="2" borderId="60" xfId="3" applyNumberFormat="1" applyFont="1" applyFill="1" applyBorder="1" applyAlignment="1" applyProtection="1">
      <alignment horizontal="right" vertical="center" indent="1"/>
      <protection locked="0"/>
    </xf>
    <xf numFmtId="3" fontId="11" fillId="2" borderId="61" xfId="3" applyNumberFormat="1" applyFont="1" applyFill="1" applyBorder="1" applyAlignment="1" applyProtection="1">
      <alignment horizontal="right" vertical="center" indent="1"/>
      <protection locked="0"/>
    </xf>
    <xf numFmtId="3" fontId="11" fillId="2" borderId="66" xfId="3" applyNumberFormat="1" applyFont="1" applyFill="1" applyBorder="1" applyAlignment="1" applyProtection="1">
      <alignment horizontal="right" vertical="center" indent="1"/>
      <protection locked="0"/>
    </xf>
    <xf numFmtId="3" fontId="11" fillId="2" borderId="30" xfId="3" applyNumberFormat="1" applyFont="1" applyFill="1" applyBorder="1" applyAlignment="1" applyProtection="1">
      <alignment horizontal="right" vertical="center" indent="1"/>
      <protection locked="0"/>
    </xf>
    <xf numFmtId="3" fontId="11" fillId="2" borderId="52" xfId="3" applyNumberFormat="1" applyFont="1" applyFill="1" applyBorder="1" applyAlignment="1" applyProtection="1">
      <alignment horizontal="right" vertical="center" indent="1"/>
      <protection locked="0"/>
    </xf>
    <xf numFmtId="3" fontId="11" fillId="2" borderId="57" xfId="3" applyNumberFormat="1" applyFont="1" applyFill="1" applyBorder="1" applyAlignment="1" applyProtection="1">
      <alignment horizontal="right" vertical="center" indent="1"/>
      <protection locked="0"/>
    </xf>
    <xf numFmtId="3" fontId="5" fillId="0" borderId="4" xfId="2" applyFont="1" applyBorder="1" applyAlignment="1">
      <alignment horizontal="left" vertical="center"/>
    </xf>
    <xf numFmtId="1" fontId="5" fillId="2" borderId="10" xfId="2" applyNumberFormat="1" applyFont="1" applyFill="1" applyBorder="1" applyAlignment="1" applyProtection="1">
      <alignment horizontal="center" vertical="center"/>
      <protection locked="0"/>
    </xf>
    <xf numFmtId="1" fontId="5" fillId="2" borderId="7" xfId="2" applyNumberFormat="1" applyFont="1" applyFill="1" applyBorder="1" applyAlignment="1" applyProtection="1">
      <alignment horizontal="center" vertical="center"/>
      <protection locked="0"/>
    </xf>
    <xf numFmtId="1" fontId="5" fillId="2" borderId="8" xfId="2" applyNumberFormat="1" applyFont="1" applyFill="1" applyBorder="1" applyAlignment="1" applyProtection="1">
      <alignment horizontal="center" vertical="center"/>
      <protection locked="0"/>
    </xf>
    <xf numFmtId="168" fontId="11" fillId="4" borderId="67" xfId="1" applyNumberFormat="1" applyFont="1" applyFill="1" applyBorder="1" applyAlignment="1" applyProtection="1">
      <alignment horizontal="right" vertical="center" indent="1"/>
    </xf>
    <xf numFmtId="3" fontId="6" fillId="0" borderId="0" xfId="2" applyFont="1" applyAlignment="1">
      <alignment horizontal="center" vertical="center"/>
    </xf>
    <xf numFmtId="3" fontId="5" fillId="6" borderId="0" xfId="2" applyFont="1" applyFill="1">
      <alignment vertical="center"/>
    </xf>
    <xf numFmtId="1" fontId="5" fillId="6" borderId="10" xfId="2" applyNumberFormat="1" applyFont="1" applyFill="1" applyBorder="1" applyAlignment="1" applyProtection="1">
      <alignment horizontal="center" vertical="center"/>
      <protection locked="0"/>
    </xf>
    <xf numFmtId="1" fontId="5" fillId="6" borderId="7" xfId="2" applyNumberFormat="1" applyFont="1" applyFill="1" applyBorder="1" applyAlignment="1" applyProtection="1">
      <alignment horizontal="center" vertical="center"/>
      <protection locked="0"/>
    </xf>
    <xf numFmtId="1" fontId="5" fillId="6" borderId="8" xfId="2" applyNumberFormat="1" applyFont="1" applyFill="1" applyBorder="1" applyAlignment="1" applyProtection="1">
      <alignment horizontal="center" vertical="center"/>
      <protection locked="0"/>
    </xf>
    <xf numFmtId="3" fontId="11" fillId="6" borderId="55" xfId="3" applyNumberFormat="1" applyFont="1" applyFill="1" applyBorder="1" applyAlignment="1" applyProtection="1">
      <alignment horizontal="right" vertical="center" indent="1"/>
      <protection locked="0"/>
    </xf>
    <xf numFmtId="3" fontId="11" fillId="6" borderId="60" xfId="3" applyNumberFormat="1" applyFont="1" applyFill="1" applyBorder="1" applyAlignment="1" applyProtection="1">
      <alignment horizontal="right" vertical="center" indent="1"/>
      <protection locked="0"/>
    </xf>
    <xf numFmtId="3" fontId="11" fillId="6" borderId="54" xfId="3" applyNumberFormat="1" applyFont="1" applyFill="1" applyBorder="1" applyAlignment="1" applyProtection="1">
      <alignment horizontal="right" vertical="center" indent="1"/>
      <protection locked="0"/>
    </xf>
    <xf numFmtId="3" fontId="11" fillId="6" borderId="61" xfId="3" applyNumberFormat="1" applyFont="1" applyFill="1" applyBorder="1" applyAlignment="1" applyProtection="1">
      <alignment horizontal="right" vertical="center" indent="1"/>
      <protection locked="0"/>
    </xf>
    <xf numFmtId="169" fontId="11" fillId="7" borderId="41" xfId="2" applyNumberFormat="1" applyFont="1" applyFill="1" applyBorder="1" applyAlignment="1" applyProtection="1">
      <alignment horizontal="right" vertical="center" indent="1"/>
      <protection locked="0"/>
    </xf>
    <xf numFmtId="169" fontId="11" fillId="7" borderId="42" xfId="2" applyNumberFormat="1" applyFont="1" applyFill="1" applyBorder="1" applyAlignment="1" applyProtection="1">
      <alignment horizontal="right" vertical="center" indent="1"/>
      <protection locked="0"/>
    </xf>
    <xf numFmtId="169" fontId="11" fillId="7" borderId="43" xfId="2" applyNumberFormat="1" applyFont="1" applyFill="1" applyBorder="1" applyAlignment="1" applyProtection="1">
      <alignment horizontal="right" vertical="center" indent="1"/>
      <protection locked="0"/>
    </xf>
    <xf numFmtId="169" fontId="11" fillId="7" borderId="48" xfId="2" applyNumberFormat="1" applyFont="1" applyFill="1" applyBorder="1" applyAlignment="1" applyProtection="1">
      <alignment horizontal="right" vertical="center" indent="1"/>
      <protection locked="0"/>
    </xf>
    <xf numFmtId="169" fontId="11" fillId="7" borderId="49" xfId="2" applyNumberFormat="1" applyFont="1" applyFill="1" applyBorder="1" applyAlignment="1" applyProtection="1">
      <alignment horizontal="right" vertical="center" indent="1"/>
      <protection locked="0"/>
    </xf>
    <xf numFmtId="169" fontId="11" fillId="7" borderId="50" xfId="2" applyNumberFormat="1" applyFont="1" applyFill="1" applyBorder="1" applyAlignment="1" applyProtection="1">
      <alignment horizontal="right" vertical="center" indent="1"/>
      <protection locked="0"/>
    </xf>
    <xf numFmtId="3" fontId="11" fillId="7" borderId="0" xfId="2" applyFont="1" applyFill="1">
      <alignment vertical="center"/>
    </xf>
    <xf numFmtId="3" fontId="5" fillId="0" borderId="0" xfId="2" applyFont="1" applyBorder="1">
      <alignment vertical="center"/>
    </xf>
    <xf numFmtId="0" fontId="5" fillId="0" borderId="16" xfId="2" applyNumberFormat="1" applyFont="1" applyFill="1" applyBorder="1">
      <alignment vertical="center"/>
    </xf>
    <xf numFmtId="0" fontId="5" fillId="0" borderId="17" xfId="2" applyNumberFormat="1" applyFont="1" applyFill="1" applyBorder="1" applyAlignment="1">
      <alignment horizontal="center" vertical="center"/>
    </xf>
    <xf numFmtId="169" fontId="11" fillId="5" borderId="17" xfId="2" applyNumberFormat="1" applyFont="1" applyFill="1" applyBorder="1" applyAlignment="1">
      <alignment horizontal="right" vertical="center" indent="1"/>
    </xf>
    <xf numFmtId="0" fontId="5" fillId="0" borderId="26" xfId="2" applyNumberFormat="1" applyFont="1" applyFill="1" applyBorder="1" applyAlignment="1">
      <alignment horizontal="center" vertical="center"/>
    </xf>
    <xf numFmtId="169" fontId="11" fillId="5" borderId="76" xfId="2" applyNumberFormat="1" applyFont="1" applyFill="1" applyBorder="1" applyAlignment="1" applyProtection="1">
      <alignment horizontal="right" vertical="center" indent="1"/>
      <protection locked="0"/>
    </xf>
    <xf numFmtId="169" fontId="11" fillId="5" borderId="77" xfId="2" applyNumberFormat="1" applyFont="1" applyFill="1" applyBorder="1" applyAlignment="1" applyProtection="1">
      <alignment horizontal="right" vertical="center" indent="1"/>
      <protection locked="0"/>
    </xf>
    <xf numFmtId="169" fontId="11" fillId="5" borderId="25" xfId="2" applyNumberFormat="1" applyFont="1" applyFill="1" applyBorder="1" applyAlignment="1">
      <alignment horizontal="right" vertical="center" indent="1"/>
    </xf>
    <xf numFmtId="168" fontId="11" fillId="4" borderId="37" xfId="1" applyNumberFormat="1" applyFont="1" applyFill="1" applyBorder="1" applyAlignment="1" applyProtection="1">
      <alignment horizontal="right" vertical="center" indent="1"/>
    </xf>
    <xf numFmtId="0" fontId="5" fillId="0" borderId="26" xfId="2" applyNumberFormat="1" applyFont="1" applyBorder="1" applyAlignment="1">
      <alignment horizontal="center" vertical="center"/>
    </xf>
    <xf numFmtId="3" fontId="11" fillId="2" borderId="63" xfId="3" applyNumberFormat="1" applyFont="1" applyFill="1" applyBorder="1" applyAlignment="1" applyProtection="1">
      <alignment horizontal="right" vertical="center" indent="1"/>
      <protection locked="0"/>
    </xf>
    <xf numFmtId="0" fontId="5" fillId="0" borderId="17" xfId="2" applyNumberFormat="1" applyFont="1" applyBorder="1" applyAlignment="1">
      <alignment horizontal="center" vertical="center"/>
    </xf>
    <xf numFmtId="3" fontId="11" fillId="2" borderId="67" xfId="3" applyNumberFormat="1" applyFont="1" applyFill="1" applyBorder="1" applyAlignment="1" applyProtection="1">
      <alignment horizontal="right" vertical="center" indent="1"/>
      <protection locked="0"/>
    </xf>
    <xf numFmtId="169" fontId="11" fillId="5" borderId="73" xfId="2" applyNumberFormat="1" applyFont="1" applyFill="1" applyBorder="1" applyAlignment="1" applyProtection="1">
      <alignment horizontal="right" vertical="center" indent="1"/>
    </xf>
    <xf numFmtId="3" fontId="11" fillId="2" borderId="37" xfId="3" applyNumberFormat="1" applyFont="1" applyFill="1" applyBorder="1" applyAlignment="1" applyProtection="1">
      <alignment horizontal="right" vertical="center" indent="1"/>
      <protection locked="0"/>
    </xf>
    <xf numFmtId="169" fontId="11" fillId="5" borderId="44" xfId="2" applyNumberFormat="1" applyFont="1" applyFill="1" applyBorder="1" applyAlignment="1" applyProtection="1">
      <alignment horizontal="right" vertical="center" indent="1"/>
    </xf>
    <xf numFmtId="169" fontId="11" fillId="5" borderId="45" xfId="2" applyNumberFormat="1" applyFont="1" applyFill="1" applyBorder="1" applyAlignment="1" applyProtection="1">
      <alignment horizontal="right" vertical="center" indent="1"/>
    </xf>
    <xf numFmtId="169" fontId="11" fillId="7" borderId="76" xfId="2" applyNumberFormat="1" applyFont="1" applyFill="1" applyBorder="1" applyAlignment="1" applyProtection="1">
      <alignment horizontal="right" vertical="center" indent="1"/>
      <protection locked="0"/>
    </xf>
    <xf numFmtId="169" fontId="11" fillId="7" borderId="77" xfId="2" applyNumberFormat="1" applyFont="1" applyFill="1" applyBorder="1" applyAlignment="1" applyProtection="1">
      <alignment horizontal="right" vertical="center" indent="1"/>
      <protection locked="0"/>
    </xf>
    <xf numFmtId="169" fontId="11" fillId="4" borderId="25" xfId="2" applyNumberFormat="1" applyFont="1" applyFill="1" applyBorder="1" applyAlignment="1">
      <alignment horizontal="right" vertical="center" indent="1"/>
    </xf>
    <xf numFmtId="169" fontId="11" fillId="5" borderId="76" xfId="2" applyNumberFormat="1" applyFont="1" applyFill="1" applyBorder="1">
      <alignment vertical="center"/>
    </xf>
    <xf numFmtId="0" fontId="5" fillId="0" borderId="9" xfId="2" applyNumberFormat="1" applyFont="1" applyFill="1" applyBorder="1">
      <alignment vertical="center"/>
    </xf>
    <xf numFmtId="0" fontId="5" fillId="0" borderId="10" xfId="2" applyNumberFormat="1" applyFont="1" applyBorder="1" applyAlignment="1">
      <alignment horizontal="center" vertical="center"/>
    </xf>
    <xf numFmtId="3" fontId="11" fillId="2" borderId="53" xfId="3" applyNumberFormat="1" applyFont="1" applyFill="1" applyBorder="1" applyAlignment="1" applyProtection="1">
      <alignment horizontal="right" vertical="center" indent="1"/>
      <protection locked="0"/>
    </xf>
    <xf numFmtId="3" fontId="11" fillId="2" borderId="58" xfId="3" applyNumberFormat="1" applyFont="1" applyFill="1" applyBorder="1" applyAlignment="1" applyProtection="1">
      <alignment horizontal="right" vertical="center" indent="1"/>
      <protection locked="0"/>
    </xf>
    <xf numFmtId="169" fontId="11" fillId="7" borderId="79" xfId="2" applyNumberFormat="1" applyFont="1" applyFill="1" applyBorder="1" applyAlignment="1" applyProtection="1">
      <alignment horizontal="right" vertical="center" indent="1"/>
      <protection locked="0"/>
    </xf>
    <xf numFmtId="169" fontId="11" fillId="7" borderId="47" xfId="2" applyNumberFormat="1" applyFont="1" applyFill="1" applyBorder="1" applyAlignment="1" applyProtection="1">
      <alignment horizontal="right" vertical="center" indent="1"/>
      <protection locked="0"/>
    </xf>
    <xf numFmtId="169" fontId="11" fillId="4" borderId="9" xfId="2" applyNumberFormat="1" applyFont="1" applyFill="1" applyBorder="1" applyAlignment="1">
      <alignment horizontal="right" vertical="center" indent="1"/>
    </xf>
    <xf numFmtId="168" fontId="11" fillId="4" borderId="58" xfId="1" applyNumberFormat="1" applyFont="1" applyFill="1" applyBorder="1" applyAlignment="1" applyProtection="1">
      <alignment horizontal="right" vertical="center" indent="1"/>
    </xf>
    <xf numFmtId="168" fontId="11" fillId="4" borderId="47" xfId="1" applyNumberFormat="1" applyFont="1" applyFill="1" applyBorder="1" applyAlignment="1" applyProtection="1">
      <alignment horizontal="right" vertical="center" indent="1"/>
    </xf>
    <xf numFmtId="168" fontId="11" fillId="4" borderId="78" xfId="1" applyNumberFormat="1" applyFont="1" applyFill="1" applyBorder="1" applyAlignment="1" applyProtection="1">
      <alignment horizontal="right" vertical="center" indent="1"/>
    </xf>
    <xf numFmtId="169" fontId="11" fillId="5" borderId="79" xfId="2" applyNumberFormat="1" applyFont="1" applyFill="1" applyBorder="1" applyAlignment="1" applyProtection="1">
      <alignment horizontal="right" vertical="center" indent="1"/>
    </xf>
    <xf numFmtId="169" fontId="11" fillId="5" borderId="47" xfId="2" applyNumberFormat="1" applyFont="1" applyFill="1" applyBorder="1" applyAlignment="1" applyProtection="1">
      <alignment horizontal="right" vertical="center" indent="1"/>
    </xf>
    <xf numFmtId="169" fontId="11" fillId="5" borderId="9" xfId="2" applyNumberFormat="1" applyFont="1" applyFill="1" applyBorder="1" applyAlignment="1">
      <alignment horizontal="right" vertical="center" indent="1"/>
    </xf>
    <xf numFmtId="3" fontId="5" fillId="0" borderId="5" xfId="2" applyFont="1" applyBorder="1">
      <alignment vertical="center"/>
    </xf>
    <xf numFmtId="3" fontId="5" fillId="0" borderId="5" xfId="2" applyFont="1" applyBorder="1" applyAlignment="1">
      <alignment vertical="center"/>
    </xf>
    <xf numFmtId="168" fontId="11" fillId="0" borderId="40" xfId="1" applyNumberFormat="1" applyFont="1" applyFill="1" applyBorder="1" applyAlignment="1" applyProtection="1">
      <alignment horizontal="right" vertical="center" indent="1"/>
    </xf>
    <xf numFmtId="0" fontId="11" fillId="0" borderId="40" xfId="0" applyFont="1" applyBorder="1"/>
    <xf numFmtId="3" fontId="5" fillId="0" borderId="45" xfId="2" applyFont="1" applyBorder="1" applyAlignment="1">
      <alignment vertical="center"/>
    </xf>
    <xf numFmtId="168" fontId="11" fillId="4" borderId="65" xfId="1" applyNumberFormat="1" applyFont="1" applyFill="1" applyBorder="1" applyAlignment="1" applyProtection="1">
      <alignment horizontal="right" vertical="center" indent="1"/>
    </xf>
    <xf numFmtId="168" fontId="11" fillId="4" borderId="75" xfId="1" applyNumberFormat="1" applyFont="1" applyFill="1" applyBorder="1" applyAlignment="1" applyProtection="1">
      <alignment horizontal="right" vertical="center" indent="1"/>
    </xf>
    <xf numFmtId="3" fontId="11" fillId="0" borderId="0" xfId="2" applyFont="1" applyFill="1" applyBorder="1" applyAlignment="1" applyProtection="1">
      <alignment horizontal="center" vertical="center"/>
      <protection locked="0"/>
    </xf>
    <xf numFmtId="169" fontId="11" fillId="7" borderId="8" xfId="2" applyNumberFormat="1" applyFont="1" applyFill="1" applyBorder="1" applyAlignment="1" applyProtection="1">
      <alignment horizontal="right" vertical="center" indent="1"/>
      <protection locked="0"/>
    </xf>
    <xf numFmtId="3" fontId="6" fillId="0" borderId="0" xfId="2" applyFont="1" applyBorder="1" applyAlignment="1">
      <alignment vertical="center"/>
    </xf>
    <xf numFmtId="0" fontId="5" fillId="0" borderId="20" xfId="2" applyNumberFormat="1" applyFont="1" applyFill="1" applyBorder="1" applyAlignment="1">
      <alignment horizontal="center" vertical="center" wrapText="1"/>
    </xf>
    <xf numFmtId="0" fontId="5" fillId="0" borderId="19" xfId="2" applyNumberFormat="1" applyFont="1" applyBorder="1" applyAlignment="1">
      <alignment horizontal="center" vertical="center" wrapText="1"/>
    </xf>
    <xf numFmtId="0" fontId="5" fillId="0" borderId="68" xfId="2" applyNumberFormat="1" applyFont="1" applyFill="1" applyBorder="1" applyAlignment="1">
      <alignment horizontal="center" vertical="center" wrapText="1"/>
    </xf>
    <xf numFmtId="0" fontId="5" fillId="0" borderId="69" xfId="2" applyNumberFormat="1" applyFont="1" applyBorder="1" applyAlignment="1">
      <alignment horizontal="center" vertical="center" wrapText="1"/>
    </xf>
    <xf numFmtId="169" fontId="11" fillId="5" borderId="66" xfId="2" applyNumberFormat="1" applyFont="1" applyFill="1" applyBorder="1" applyAlignment="1">
      <alignment horizontal="right" vertical="center" indent="1"/>
    </xf>
    <xf numFmtId="0" fontId="5" fillId="0" borderId="3" xfId="2" applyNumberFormat="1" applyFont="1" applyFill="1" applyBorder="1" applyAlignment="1">
      <alignment horizontal="center" vertical="center"/>
    </xf>
    <xf numFmtId="0" fontId="5" fillId="0" borderId="15" xfId="2" applyNumberFormat="1" applyFont="1" applyFill="1" applyBorder="1" applyAlignment="1">
      <alignment horizontal="center" vertical="center"/>
    </xf>
    <xf numFmtId="168" fontId="11" fillId="4" borderId="66" xfId="1" applyNumberFormat="1" applyFont="1" applyFill="1" applyBorder="1" applyAlignment="1" applyProtection="1">
      <alignment horizontal="right" vertical="center" indent="1"/>
    </xf>
    <xf numFmtId="169" fontId="11" fillId="4" borderId="82" xfId="2" applyNumberFormat="1" applyFont="1" applyFill="1" applyBorder="1" applyAlignment="1">
      <alignment horizontal="right" vertical="center" indent="1"/>
    </xf>
    <xf numFmtId="169" fontId="11" fillId="4" borderId="83" xfId="2" applyNumberFormat="1" applyFont="1" applyFill="1" applyBorder="1" applyAlignment="1">
      <alignment horizontal="right" vertical="center" indent="1"/>
    </xf>
    <xf numFmtId="169" fontId="11" fillId="4" borderId="84" xfId="2" applyNumberFormat="1" applyFont="1" applyFill="1" applyBorder="1" applyAlignment="1">
      <alignment horizontal="right" vertical="center" indent="1"/>
    </xf>
    <xf numFmtId="169" fontId="11" fillId="4" borderId="47" xfId="2" applyNumberFormat="1" applyFont="1" applyFill="1" applyBorder="1" applyAlignment="1">
      <alignment horizontal="right" vertical="center" indent="1"/>
    </xf>
    <xf numFmtId="169" fontId="11" fillId="4" borderId="48" xfId="2" applyNumberFormat="1" applyFont="1" applyFill="1" applyBorder="1" applyAlignment="1">
      <alignment horizontal="right" vertical="center" indent="1"/>
    </xf>
    <xf numFmtId="3" fontId="5" fillId="0" borderId="85" xfId="2" applyFont="1" applyBorder="1" applyAlignment="1">
      <alignment vertical="center"/>
    </xf>
    <xf numFmtId="43" fontId="11" fillId="4" borderId="86" xfId="3" applyNumberFormat="1" applyFont="1" applyFill="1" applyBorder="1" applyAlignment="1">
      <alignment vertical="center"/>
    </xf>
    <xf numFmtId="3" fontId="5" fillId="0" borderId="87" xfId="2" applyFont="1" applyBorder="1" applyAlignment="1">
      <alignment vertical="center"/>
    </xf>
    <xf numFmtId="168" fontId="11" fillId="0" borderId="87" xfId="1" applyNumberFormat="1" applyFont="1" applyFill="1" applyBorder="1" applyAlignment="1" applyProtection="1">
      <alignment horizontal="right" vertical="center" indent="1"/>
    </xf>
    <xf numFmtId="168" fontId="11" fillId="4" borderId="86" xfId="1" applyNumberFormat="1" applyFont="1" applyFill="1" applyBorder="1" applyAlignment="1" applyProtection="1">
      <alignment horizontal="right" vertical="center" indent="1"/>
    </xf>
    <xf numFmtId="168" fontId="11" fillId="4" borderId="88" xfId="1" applyNumberFormat="1" applyFont="1" applyFill="1" applyBorder="1" applyAlignment="1" applyProtection="1">
      <alignment horizontal="right" vertical="center" indent="1"/>
    </xf>
    <xf numFmtId="168" fontId="11" fillId="4" borderId="87" xfId="1" applyNumberFormat="1" applyFont="1" applyFill="1" applyBorder="1" applyAlignment="1" applyProtection="1">
      <alignment horizontal="right" vertical="center" indent="1"/>
    </xf>
    <xf numFmtId="168" fontId="11" fillId="4" borderId="85" xfId="1" applyNumberFormat="1" applyFont="1" applyFill="1" applyBorder="1" applyAlignment="1" applyProtection="1">
      <alignment horizontal="right" vertical="center" indent="1"/>
    </xf>
    <xf numFmtId="168" fontId="11" fillId="4" borderId="89" xfId="1" applyNumberFormat="1" applyFont="1" applyFill="1" applyBorder="1" applyAlignment="1" applyProtection="1">
      <alignment horizontal="right" vertical="center" indent="1"/>
    </xf>
    <xf numFmtId="168" fontId="11" fillId="4" borderId="90" xfId="1" applyNumberFormat="1" applyFont="1" applyFill="1" applyBorder="1" applyAlignment="1" applyProtection="1">
      <alignment horizontal="right" vertical="center" indent="1"/>
    </xf>
    <xf numFmtId="168" fontId="11" fillId="4" borderId="91" xfId="1" applyNumberFormat="1" applyFont="1" applyFill="1" applyBorder="1" applyAlignment="1" applyProtection="1">
      <alignment horizontal="right" vertical="center" indent="1"/>
    </xf>
    <xf numFmtId="168" fontId="11" fillId="4" borderId="92" xfId="1" applyNumberFormat="1" applyFont="1" applyFill="1" applyBorder="1" applyAlignment="1" applyProtection="1">
      <alignment horizontal="right" vertical="center" indent="1"/>
    </xf>
    <xf numFmtId="168" fontId="11" fillId="4" borderId="93" xfId="1" applyNumberFormat="1" applyFont="1" applyFill="1" applyBorder="1" applyAlignment="1" applyProtection="1">
      <alignment horizontal="right" vertical="center" indent="1"/>
    </xf>
    <xf numFmtId="168" fontId="11" fillId="4" borderId="32" xfId="1" applyNumberFormat="1" applyFont="1" applyFill="1" applyBorder="1" applyAlignment="1" applyProtection="1">
      <alignment horizontal="right" vertical="center" indent="1"/>
    </xf>
    <xf numFmtId="43" fontId="11" fillId="4" borderId="89" xfId="3" applyNumberFormat="1" applyFont="1" applyFill="1" applyBorder="1" applyAlignment="1">
      <alignment vertical="center"/>
    </xf>
    <xf numFmtId="43" fontId="11" fillId="4" borderId="93" xfId="3" applyNumberFormat="1" applyFont="1" applyFill="1" applyBorder="1" applyAlignment="1">
      <alignment vertical="center"/>
    </xf>
    <xf numFmtId="3" fontId="5" fillId="0" borderId="85" xfId="2" applyFont="1" applyBorder="1">
      <alignment vertical="center"/>
    </xf>
    <xf numFmtId="0" fontId="5" fillId="0" borderId="25" xfId="2" applyNumberFormat="1" applyFont="1" applyBorder="1">
      <alignment vertical="center"/>
    </xf>
    <xf numFmtId="1" fontId="5" fillId="2" borderId="94" xfId="2" applyNumberFormat="1" applyFont="1" applyFill="1" applyBorder="1" applyAlignment="1" applyProtection="1">
      <alignment horizontal="center" vertical="center"/>
      <protection locked="0"/>
    </xf>
    <xf numFmtId="1" fontId="5" fillId="2" borderId="31" xfId="2" applyNumberFormat="1" applyFont="1" applyFill="1" applyBorder="1" applyAlignment="1" applyProtection="1">
      <alignment horizontal="center" vertical="center"/>
      <protection locked="0"/>
    </xf>
    <xf numFmtId="1" fontId="5" fillId="2" borderId="81" xfId="2" applyNumberFormat="1" applyFont="1" applyFill="1" applyBorder="1" applyAlignment="1" applyProtection="1">
      <alignment horizontal="center" vertical="center"/>
      <protection locked="0"/>
    </xf>
    <xf numFmtId="169" fontId="11" fillId="4" borderId="77" xfId="2" applyNumberFormat="1" applyFont="1" applyFill="1" applyBorder="1" applyAlignment="1">
      <alignment horizontal="right" vertical="center" indent="1"/>
    </xf>
    <xf numFmtId="0" fontId="5" fillId="0" borderId="0" xfId="2" applyNumberFormat="1" applyFont="1" applyBorder="1">
      <alignment vertical="center"/>
    </xf>
    <xf numFmtId="0" fontId="5" fillId="0" borderId="0" xfId="2" applyNumberFormat="1" applyFont="1" applyFill="1" applyBorder="1">
      <alignment vertical="center"/>
    </xf>
    <xf numFmtId="0" fontId="5" fillId="0" borderId="95" xfId="2" applyNumberFormat="1" applyFont="1" applyFill="1" applyBorder="1" applyAlignment="1">
      <alignment horizontal="center" vertical="center" wrapText="1"/>
    </xf>
    <xf numFmtId="0" fontId="5" fillId="0" borderId="96" xfId="2" applyNumberFormat="1" applyFont="1" applyBorder="1" applyAlignment="1">
      <alignment horizontal="center" vertical="center" wrapText="1"/>
    </xf>
    <xf numFmtId="0" fontId="5" fillId="0" borderId="40" xfId="2" applyNumberFormat="1" applyFont="1" applyBorder="1" applyAlignment="1">
      <alignment horizontal="center" vertical="center" wrapText="1"/>
    </xf>
    <xf numFmtId="169" fontId="5" fillId="0" borderId="64" xfId="2" applyNumberFormat="1" applyFont="1" applyFill="1" applyBorder="1" applyAlignment="1" applyProtection="1">
      <alignment vertical="center"/>
      <protection locked="0"/>
    </xf>
    <xf numFmtId="169" fontId="5" fillId="0" borderId="40" xfId="2" applyNumberFormat="1" applyFont="1" applyFill="1" applyBorder="1" applyAlignment="1" applyProtection="1">
      <alignment vertical="center"/>
      <protection locked="0"/>
    </xf>
    <xf numFmtId="169" fontId="5" fillId="0" borderId="52" xfId="2" applyNumberFormat="1" applyFont="1" applyFill="1" applyBorder="1" applyAlignment="1" applyProtection="1">
      <alignment vertical="center"/>
      <protection locked="0"/>
    </xf>
    <xf numFmtId="169" fontId="5" fillId="0" borderId="19" xfId="2" applyNumberFormat="1" applyFont="1" applyFill="1" applyBorder="1" applyAlignment="1" applyProtection="1">
      <alignment vertical="center"/>
      <protection locked="0"/>
    </xf>
    <xf numFmtId="1" fontId="5" fillId="0" borderId="5" xfId="2" applyNumberFormat="1" applyFont="1" applyFill="1" applyBorder="1" applyAlignment="1" applyProtection="1">
      <alignment vertical="center"/>
      <protection locked="0"/>
    </xf>
    <xf numFmtId="1" fontId="5" fillId="0" borderId="24" xfId="2" applyNumberFormat="1" applyFont="1" applyFill="1" applyBorder="1" applyAlignment="1" applyProtection="1">
      <alignment vertical="center"/>
      <protection locked="0"/>
    </xf>
    <xf numFmtId="169" fontId="5" fillId="8" borderId="51" xfId="2" applyNumberFormat="1" applyFont="1" applyFill="1" applyBorder="1" applyAlignment="1" applyProtection="1">
      <alignment vertical="center"/>
      <protection locked="0"/>
    </xf>
    <xf numFmtId="169" fontId="5" fillId="8" borderId="20" xfId="2" applyNumberFormat="1" applyFont="1" applyFill="1" applyBorder="1" applyAlignment="1" applyProtection="1">
      <alignment vertical="center"/>
      <protection locked="0"/>
    </xf>
    <xf numFmtId="169" fontId="5" fillId="8" borderId="64" xfId="2" applyNumberFormat="1" applyFont="1" applyFill="1" applyBorder="1" applyAlignment="1" applyProtection="1">
      <alignment vertical="center"/>
      <protection locked="0"/>
    </xf>
    <xf numFmtId="169" fontId="5" fillId="8" borderId="40" xfId="2" applyNumberFormat="1" applyFont="1" applyFill="1" applyBorder="1" applyAlignment="1" applyProtection="1">
      <alignment vertical="center"/>
      <protection locked="0"/>
    </xf>
    <xf numFmtId="169" fontId="11" fillId="8" borderId="64" xfId="0" applyNumberFormat="1" applyFont="1" applyFill="1" applyBorder="1"/>
    <xf numFmtId="169" fontId="5" fillId="8" borderId="52" xfId="2" applyNumberFormat="1" applyFont="1" applyFill="1" applyBorder="1" applyAlignment="1" applyProtection="1">
      <alignment vertical="center"/>
      <protection locked="0"/>
    </xf>
    <xf numFmtId="169" fontId="5" fillId="8" borderId="19" xfId="2" applyNumberFormat="1" applyFont="1" applyFill="1" applyBorder="1" applyAlignment="1" applyProtection="1">
      <alignment vertical="center"/>
      <protection locked="0"/>
    </xf>
    <xf numFmtId="0" fontId="11" fillId="0" borderId="0" xfId="0" applyFont="1"/>
    <xf numFmtId="169" fontId="11" fillId="5" borderId="35" xfId="2" applyNumberFormat="1" applyFont="1" applyFill="1" applyBorder="1" applyAlignment="1">
      <alignment horizontal="right" vertical="center" indent="1"/>
    </xf>
    <xf numFmtId="169" fontId="11" fillId="7" borderId="50" xfId="2" applyNumberFormat="1" applyFont="1" applyFill="1" applyBorder="1" applyAlignment="1">
      <alignment horizontal="right" vertical="center" indent="1"/>
    </xf>
    <xf numFmtId="169" fontId="11" fillId="7" borderId="77" xfId="2" applyNumberFormat="1" applyFont="1" applyFill="1" applyBorder="1" applyAlignment="1">
      <alignment horizontal="right" vertical="center" indent="1"/>
    </xf>
    <xf numFmtId="169" fontId="11" fillId="7" borderId="49" xfId="2" applyNumberFormat="1" applyFont="1" applyFill="1" applyBorder="1" applyAlignment="1">
      <alignment horizontal="right" vertical="center" indent="1"/>
    </xf>
    <xf numFmtId="169" fontId="11" fillId="7" borderId="12" xfId="2" applyNumberFormat="1" applyFont="1" applyFill="1" applyBorder="1" applyAlignment="1">
      <alignment horizontal="right" vertical="center" indent="1"/>
    </xf>
    <xf numFmtId="169" fontId="11" fillId="7" borderId="8" xfId="2" applyNumberFormat="1" applyFont="1" applyFill="1" applyBorder="1" applyAlignment="1">
      <alignment horizontal="right" vertical="center" indent="1"/>
    </xf>
    <xf numFmtId="169" fontId="11" fillId="7" borderId="7" xfId="2" applyNumberFormat="1" applyFont="1" applyFill="1" applyBorder="1" applyAlignment="1">
      <alignment horizontal="right" vertical="center" indent="1"/>
    </xf>
    <xf numFmtId="169" fontId="11" fillId="4" borderId="12" xfId="2" applyNumberFormat="1" applyFont="1" applyFill="1" applyBorder="1" applyAlignment="1">
      <alignment horizontal="right" vertical="center" indent="1"/>
    </xf>
    <xf numFmtId="169" fontId="11" fillId="7" borderId="48" xfId="2" applyNumberFormat="1" applyFont="1" applyFill="1" applyBorder="1" applyAlignment="1">
      <alignment horizontal="right" vertical="center" indent="1"/>
    </xf>
    <xf numFmtId="169" fontId="11" fillId="7" borderId="15" xfId="2" applyNumberFormat="1" applyFont="1" applyFill="1" applyBorder="1" applyAlignment="1">
      <alignment horizontal="right" vertical="center" indent="1"/>
    </xf>
    <xf numFmtId="169" fontId="11" fillId="7" borderId="26" xfId="2" applyNumberFormat="1" applyFont="1" applyFill="1" applyBorder="1" applyAlignment="1">
      <alignment horizontal="right" vertical="center" indent="1"/>
    </xf>
    <xf numFmtId="169" fontId="11" fillId="7" borderId="79" xfId="2" applyNumberFormat="1" applyFont="1" applyFill="1" applyBorder="1" applyAlignment="1">
      <alignment horizontal="right" vertical="center" indent="1"/>
    </xf>
    <xf numFmtId="169" fontId="11" fillId="7" borderId="11" xfId="2" applyNumberFormat="1" applyFont="1" applyFill="1" applyBorder="1" applyAlignment="1">
      <alignment horizontal="right" vertical="center" indent="1"/>
    </xf>
    <xf numFmtId="169" fontId="11" fillId="7" borderId="74" xfId="2" applyNumberFormat="1" applyFont="1" applyFill="1" applyBorder="1" applyAlignment="1" applyProtection="1">
      <alignment horizontal="right" vertical="center" indent="1"/>
      <protection locked="0"/>
    </xf>
    <xf numFmtId="169" fontId="11" fillId="7" borderId="17" xfId="2" applyNumberFormat="1" applyFont="1" applyFill="1" applyBorder="1" applyAlignment="1">
      <alignment horizontal="right" vertical="center" indent="1"/>
    </xf>
    <xf numFmtId="169" fontId="11" fillId="5" borderId="84" xfId="2" applyNumberFormat="1" applyFont="1" applyFill="1" applyBorder="1" applyAlignment="1">
      <alignment horizontal="right" vertical="center" indent="1"/>
    </xf>
    <xf numFmtId="169" fontId="11" fillId="7" borderId="10" xfId="2" applyNumberFormat="1" applyFont="1" applyFill="1" applyBorder="1" applyAlignment="1">
      <alignment horizontal="right" vertical="center" indent="1"/>
    </xf>
    <xf numFmtId="169" fontId="11" fillId="7" borderId="74" xfId="2" applyNumberFormat="1" applyFont="1" applyFill="1" applyBorder="1" applyAlignment="1" applyProtection="1">
      <alignment horizontal="right" vertical="center" indent="1"/>
    </xf>
    <xf numFmtId="169" fontId="11" fillId="7" borderId="49" xfId="2" applyNumberFormat="1" applyFont="1" applyFill="1" applyBorder="1" applyAlignment="1" applyProtection="1">
      <alignment horizontal="right" vertical="center" indent="1"/>
    </xf>
    <xf numFmtId="169" fontId="11" fillId="7" borderId="16" xfId="2" applyNumberFormat="1" applyFont="1" applyFill="1" applyBorder="1" applyAlignment="1">
      <alignment horizontal="right" vertical="center" indent="1"/>
    </xf>
    <xf numFmtId="168" fontId="11" fillId="4" borderId="46" xfId="1" applyNumberFormat="1" applyFont="1" applyFill="1" applyBorder="1" applyAlignment="1" applyProtection="1">
      <alignment horizontal="right" vertical="center" indent="1"/>
    </xf>
    <xf numFmtId="0" fontId="17" fillId="0" borderId="0" xfId="0" applyFont="1"/>
    <xf numFmtId="0" fontId="19" fillId="0" borderId="0" xfId="0" applyFont="1"/>
    <xf numFmtId="168" fontId="11" fillId="4" borderId="74" xfId="1" applyNumberFormat="1" applyFont="1" applyFill="1" applyBorder="1" applyAlignment="1" applyProtection="1">
      <alignment horizontal="right" vertical="center" indent="1"/>
    </xf>
    <xf numFmtId="168" fontId="11" fillId="4" borderId="79" xfId="1" applyNumberFormat="1" applyFont="1" applyFill="1" applyBorder="1" applyAlignment="1" applyProtection="1">
      <alignment horizontal="right" vertical="center" indent="1"/>
    </xf>
    <xf numFmtId="0" fontId="0" fillId="0" borderId="0" xfId="0" applyFill="1"/>
    <xf numFmtId="169" fontId="11" fillId="3" borderId="93" xfId="2" applyNumberFormat="1" applyFont="1" applyFill="1" applyBorder="1" applyAlignment="1" applyProtection="1">
      <alignment horizontal="right" vertical="center" indent="1"/>
      <protection locked="0"/>
    </xf>
    <xf numFmtId="169" fontId="11" fillId="5" borderId="97" xfId="2" applyNumberFormat="1" applyFont="1" applyFill="1" applyBorder="1" applyAlignment="1">
      <alignment horizontal="right" vertical="center" indent="1"/>
    </xf>
    <xf numFmtId="169" fontId="11" fillId="5" borderId="39" xfId="2" applyNumberFormat="1" applyFont="1" applyFill="1" applyBorder="1" applyAlignment="1">
      <alignment horizontal="right" vertical="center" indent="1"/>
    </xf>
    <xf numFmtId="169" fontId="11" fillId="3" borderId="50" xfId="2" applyNumberFormat="1" applyFont="1" applyFill="1" applyBorder="1" applyAlignment="1" applyProtection="1">
      <alignment horizontal="right" vertical="center" indent="1"/>
      <protection locked="0"/>
    </xf>
    <xf numFmtId="169" fontId="11" fillId="3" borderId="65" xfId="2" applyNumberFormat="1" applyFont="1" applyFill="1" applyBorder="1" applyAlignment="1" applyProtection="1">
      <alignment horizontal="right" vertical="center" indent="1"/>
      <protection locked="0"/>
    </xf>
    <xf numFmtId="169" fontId="11" fillId="3" borderId="49" xfId="2" applyNumberFormat="1" applyFont="1" applyFill="1" applyBorder="1" applyAlignment="1" applyProtection="1">
      <alignment horizontal="right" vertical="center" indent="1"/>
      <protection locked="0"/>
    </xf>
    <xf numFmtId="3" fontId="11" fillId="0" borderId="0" xfId="3" applyNumberFormat="1" applyFont="1" applyFill="1" applyBorder="1" applyAlignment="1" applyProtection="1">
      <alignment horizontal="right" vertical="center" indent="1"/>
      <protection locked="0"/>
    </xf>
    <xf numFmtId="169" fontId="0" fillId="0" borderId="0" xfId="0" applyNumberFormat="1" applyFill="1"/>
    <xf numFmtId="169" fontId="11" fillId="5" borderId="47" xfId="2" applyNumberFormat="1" applyFont="1" applyFill="1" applyBorder="1" applyAlignment="1">
      <alignment horizontal="right" vertical="center" indent="1"/>
    </xf>
    <xf numFmtId="1" fontId="5" fillId="0" borderId="78" xfId="2" applyNumberFormat="1" applyFont="1" applyFill="1" applyBorder="1" applyAlignment="1" applyProtection="1">
      <alignment vertical="center"/>
      <protection locked="0"/>
    </xf>
    <xf numFmtId="1" fontId="5" fillId="0" borderId="13" xfId="2" applyNumberFormat="1" applyFont="1" applyFill="1" applyBorder="1" applyAlignment="1" applyProtection="1">
      <alignment vertical="center"/>
      <protection locked="0"/>
    </xf>
    <xf numFmtId="169" fontId="5" fillId="0" borderId="32" xfId="2" applyNumberFormat="1" applyFont="1" applyFill="1" applyBorder="1" applyAlignment="1" applyProtection="1">
      <alignment vertical="center"/>
      <protection locked="0"/>
    </xf>
    <xf numFmtId="1" fontId="5" fillId="0" borderId="75" xfId="2" applyNumberFormat="1" applyFont="1" applyFill="1" applyBorder="1" applyAlignment="1" applyProtection="1">
      <alignment vertical="center"/>
      <protection locked="0"/>
    </xf>
    <xf numFmtId="169" fontId="5" fillId="0" borderId="80" xfId="2" applyNumberFormat="1" applyFont="1" applyFill="1" applyBorder="1" applyAlignment="1" applyProtection="1">
      <alignment vertical="center"/>
      <protection locked="0"/>
    </xf>
    <xf numFmtId="169" fontId="11" fillId="0" borderId="93" xfId="0" applyNumberFormat="1" applyFont="1" applyFill="1" applyBorder="1"/>
    <xf numFmtId="169" fontId="11" fillId="0" borderId="65" xfId="0" applyNumberFormat="1" applyFont="1" applyFill="1" applyBorder="1"/>
    <xf numFmtId="3" fontId="5" fillId="2" borderId="22" xfId="1" applyNumberFormat="1" applyFont="1" applyFill="1" applyBorder="1" applyAlignment="1" applyProtection="1">
      <alignment horizontal="right" vertical="center" indent="1"/>
      <protection locked="0"/>
    </xf>
    <xf numFmtId="3" fontId="5" fillId="2" borderId="13" xfId="1" applyNumberFormat="1" applyFont="1" applyFill="1" applyBorder="1" applyAlignment="1" applyProtection="1">
      <alignment horizontal="right" vertical="center" indent="1"/>
      <protection locked="0"/>
    </xf>
    <xf numFmtId="3" fontId="5" fillId="4" borderId="13" xfId="3" applyNumberFormat="1" applyFont="1" applyFill="1" applyBorder="1" applyAlignment="1" applyProtection="1">
      <alignment horizontal="right" vertical="center" indent="1"/>
    </xf>
    <xf numFmtId="3" fontId="5" fillId="2" borderId="13" xfId="3" applyNumberFormat="1" applyFont="1" applyFill="1" applyBorder="1" applyAlignment="1" applyProtection="1">
      <alignment horizontal="right" vertical="center" indent="1"/>
      <protection locked="0"/>
    </xf>
    <xf numFmtId="3" fontId="5" fillId="6" borderId="13" xfId="3" applyNumberFormat="1" applyFont="1" applyFill="1" applyBorder="1" applyAlignment="1" applyProtection="1">
      <alignment horizontal="right" vertical="center" indent="1"/>
      <protection locked="0"/>
    </xf>
    <xf numFmtId="3" fontId="5" fillId="4" borderId="21" xfId="3" applyNumberFormat="1" applyFont="1" applyFill="1" applyBorder="1" applyAlignment="1" applyProtection="1">
      <alignment horizontal="right" vertical="center" indent="1"/>
    </xf>
    <xf numFmtId="3" fontId="16" fillId="4" borderId="21" xfId="3" applyNumberFormat="1" applyFont="1" applyFill="1" applyBorder="1" applyAlignment="1" applyProtection="1">
      <alignment horizontal="right" vertical="center" indent="1"/>
    </xf>
    <xf numFmtId="3" fontId="11" fillId="3" borderId="22" xfId="3" applyNumberFormat="1" applyFont="1" applyFill="1" applyBorder="1" applyAlignment="1" applyProtection="1">
      <alignment horizontal="right" vertical="center" indent="1"/>
      <protection locked="0"/>
    </xf>
    <xf numFmtId="3" fontId="11" fillId="3" borderId="13" xfId="3" applyNumberFormat="1" applyFont="1" applyFill="1" applyBorder="1" applyAlignment="1" applyProtection="1">
      <alignment horizontal="right" vertical="center" indent="1"/>
      <protection locked="0"/>
    </xf>
    <xf numFmtId="3" fontId="11" fillId="6" borderId="13" xfId="3" applyNumberFormat="1" applyFont="1" applyFill="1" applyBorder="1" applyAlignment="1" applyProtection="1">
      <alignment horizontal="right" vertical="center" indent="1"/>
      <protection locked="0"/>
    </xf>
    <xf numFmtId="3" fontId="11" fillId="2" borderId="21" xfId="3" applyNumberFormat="1" applyFont="1" applyFill="1" applyBorder="1" applyAlignment="1" applyProtection="1">
      <alignment horizontal="right" vertical="center" indent="1"/>
      <protection locked="0"/>
    </xf>
    <xf numFmtId="3" fontId="11" fillId="6" borderId="21" xfId="3" applyNumberFormat="1" applyFont="1" applyFill="1" applyBorder="1" applyAlignment="1" applyProtection="1">
      <alignment horizontal="right" vertical="center" indent="1"/>
      <protection locked="0"/>
    </xf>
    <xf numFmtId="3" fontId="5" fillId="0" borderId="52" xfId="2" applyFont="1" applyBorder="1" applyAlignment="1">
      <alignment vertical="center"/>
    </xf>
    <xf numFmtId="0" fontId="0" fillId="0" borderId="19" xfId="0" applyBorder="1"/>
    <xf numFmtId="3" fontId="5" fillId="0" borderId="19" xfId="2" applyFont="1" applyBorder="1" applyAlignment="1">
      <alignment vertical="center"/>
    </xf>
    <xf numFmtId="0" fontId="20" fillId="0" borderId="0" xfId="2" applyNumberFormat="1" applyFont="1" applyFill="1" applyBorder="1">
      <alignment vertical="center"/>
    </xf>
    <xf numFmtId="0" fontId="6" fillId="0" borderId="36" xfId="2" applyNumberFormat="1" applyFont="1" applyBorder="1" applyAlignment="1">
      <alignment horizontal="center" vertical="center"/>
    </xf>
    <xf numFmtId="0" fontId="6" fillId="0" borderId="33" xfId="2" applyNumberFormat="1" applyFont="1" applyBorder="1" applyAlignment="1">
      <alignment horizontal="center" vertical="center"/>
    </xf>
    <xf numFmtId="0" fontId="6" fillId="0" borderId="14" xfId="2" applyNumberFormat="1" applyFont="1" applyBorder="1" applyAlignment="1">
      <alignment horizontal="center" vertical="center"/>
    </xf>
    <xf numFmtId="3" fontId="5" fillId="0" borderId="30" xfId="2" applyFont="1" applyFill="1" applyBorder="1" applyAlignment="1">
      <alignment horizontal="left" vertical="center" indent="1"/>
    </xf>
    <xf numFmtId="3" fontId="5" fillId="0" borderId="31" xfId="2" applyFont="1" applyFill="1" applyBorder="1" applyAlignment="1">
      <alignment horizontal="left" vertical="center" indent="1"/>
    </xf>
    <xf numFmtId="3" fontId="5" fillId="0" borderId="32" xfId="2" applyFont="1" applyFill="1" applyBorder="1" applyAlignment="1">
      <alignment horizontal="left" vertical="center" indent="1"/>
    </xf>
    <xf numFmtId="0" fontId="3" fillId="0" borderId="0" xfId="2" applyNumberFormat="1" applyFont="1" applyAlignment="1">
      <alignment horizontal="center" vertical="center"/>
    </xf>
    <xf numFmtId="49" fontId="5" fillId="2" borderId="29" xfId="2" applyNumberFormat="1" applyFont="1" applyFill="1" applyBorder="1" applyAlignment="1" applyProtection="1">
      <alignment horizontal="left" vertical="center" indent="1"/>
      <protection locked="0"/>
    </xf>
    <xf numFmtId="49" fontId="5" fillId="2" borderId="10" xfId="2" applyNumberFormat="1" applyFont="1" applyFill="1" applyBorder="1" applyAlignment="1" applyProtection="1">
      <alignment horizontal="left" vertical="center" indent="1"/>
      <protection locked="0"/>
    </xf>
    <xf numFmtId="49" fontId="5" fillId="2" borderId="6" xfId="2" applyNumberFormat="1" applyFont="1" applyFill="1" applyBorder="1" applyAlignment="1" applyProtection="1">
      <alignment horizontal="left" vertical="center" indent="1"/>
      <protection locked="0"/>
    </xf>
    <xf numFmtId="49" fontId="5" fillId="2" borderId="7" xfId="2" applyNumberFormat="1" applyFont="1" applyFill="1" applyBorder="1" applyAlignment="1" applyProtection="1">
      <alignment horizontal="left" vertical="center" indent="1"/>
      <protection locked="0"/>
    </xf>
    <xf numFmtId="1" fontId="5" fillId="2" borderId="72" xfId="2" applyNumberFormat="1" applyFont="1" applyFill="1" applyBorder="1" applyAlignment="1" applyProtection="1">
      <alignment horizontal="left" vertical="center" indent="1"/>
      <protection locked="0"/>
    </xf>
    <xf numFmtId="1" fontId="5" fillId="2" borderId="3" xfId="2" applyNumberFormat="1" applyFont="1" applyFill="1" applyBorder="1" applyAlignment="1" applyProtection="1">
      <alignment horizontal="left" vertical="center" indent="1"/>
      <protection locked="0"/>
    </xf>
    <xf numFmtId="3" fontId="6" fillId="0" borderId="0" xfId="2" applyFont="1" applyAlignment="1">
      <alignment horizontal="center" vertical="center"/>
    </xf>
    <xf numFmtId="3" fontId="6" fillId="0" borderId="18" xfId="2" applyFont="1" applyBorder="1" applyAlignment="1">
      <alignment horizontal="center" vertical="center"/>
    </xf>
    <xf numFmtId="3" fontId="5" fillId="0" borderId="34" xfId="2" applyFont="1" applyBorder="1" applyAlignment="1">
      <alignment horizontal="left" vertical="center" indent="1"/>
    </xf>
    <xf numFmtId="3" fontId="5" fillId="0" borderId="35" xfId="2" applyFont="1" applyBorder="1" applyAlignment="1">
      <alignment horizontal="left" vertical="center" indent="1"/>
    </xf>
    <xf numFmtId="3" fontId="5" fillId="0" borderId="30" xfId="2" applyFont="1" applyBorder="1" applyAlignment="1">
      <alignment horizontal="left" vertical="center" indent="1"/>
    </xf>
    <xf numFmtId="3" fontId="5" fillId="0" borderId="31" xfId="2" applyFont="1" applyBorder="1" applyAlignment="1">
      <alignment horizontal="left" vertical="center" indent="1"/>
    </xf>
    <xf numFmtId="3" fontId="5" fillId="0" borderId="32" xfId="2" applyFont="1" applyBorder="1" applyAlignment="1">
      <alignment horizontal="left" vertical="center" indent="1"/>
    </xf>
    <xf numFmtId="3" fontId="5" fillId="0" borderId="37" xfId="2" applyFont="1" applyFill="1" applyBorder="1" applyAlignment="1">
      <alignment horizontal="left" vertical="center" indent="1"/>
    </xf>
    <xf numFmtId="3" fontId="5" fillId="0" borderId="38" xfId="2" applyFont="1" applyFill="1" applyBorder="1" applyAlignment="1">
      <alignment horizontal="left" vertical="center" indent="1"/>
    </xf>
    <xf numFmtId="3" fontId="5" fillId="0" borderId="39" xfId="2" applyFont="1" applyFill="1" applyBorder="1" applyAlignment="1">
      <alignment horizontal="left" vertical="center" indent="1"/>
    </xf>
    <xf numFmtId="3" fontId="16" fillId="0" borderId="37" xfId="2" applyFont="1" applyFill="1" applyBorder="1" applyAlignment="1">
      <alignment horizontal="left" vertical="center" indent="1"/>
    </xf>
    <xf numFmtId="3" fontId="16" fillId="0" borderId="38" xfId="2" applyFont="1" applyFill="1" applyBorder="1" applyAlignment="1">
      <alignment horizontal="left" vertical="center" indent="1"/>
    </xf>
    <xf numFmtId="3" fontId="16" fillId="0" borderId="39" xfId="2" applyFont="1" applyFill="1" applyBorder="1" applyAlignment="1">
      <alignment horizontal="left" vertical="center" indent="1"/>
    </xf>
    <xf numFmtId="3" fontId="5" fillId="0" borderId="54" xfId="2" applyFont="1" applyFill="1" applyBorder="1" applyAlignment="1">
      <alignment horizontal="left" vertical="center" indent="1"/>
    </xf>
    <xf numFmtId="3" fontId="5" fillId="0" borderId="34" xfId="2" applyFont="1" applyFill="1" applyBorder="1" applyAlignment="1">
      <alignment horizontal="left" vertical="center" indent="1"/>
    </xf>
    <xf numFmtId="3" fontId="5" fillId="0" borderId="35" xfId="2" applyFont="1" applyFill="1" applyBorder="1" applyAlignment="1">
      <alignment horizontal="left" vertical="center" indent="1"/>
    </xf>
    <xf numFmtId="3" fontId="10" fillId="0" borderId="18" xfId="2" applyFont="1" applyBorder="1" applyAlignment="1">
      <alignment horizontal="center" vertical="center"/>
    </xf>
    <xf numFmtId="3" fontId="5" fillId="0" borderId="36" xfId="2" applyFont="1" applyBorder="1" applyAlignment="1">
      <alignment horizontal="left" vertical="center" indent="1"/>
    </xf>
    <xf numFmtId="3" fontId="5" fillId="0" borderId="33" xfId="2" applyFont="1" applyBorder="1" applyAlignment="1">
      <alignment horizontal="left" vertical="center" indent="1"/>
    </xf>
    <xf numFmtId="3" fontId="5" fillId="0" borderId="14" xfId="2" applyFont="1" applyBorder="1" applyAlignment="1">
      <alignment horizontal="left" vertical="center" indent="1"/>
    </xf>
    <xf numFmtId="0" fontId="5" fillId="0" borderId="51" xfId="2" applyNumberFormat="1" applyFont="1" applyBorder="1" applyAlignment="1">
      <alignment horizontal="center" vertical="center" wrapText="1"/>
    </xf>
    <xf numFmtId="0" fontId="5" fillId="0" borderId="20" xfId="2" applyNumberFormat="1" applyFont="1" applyBorder="1" applyAlignment="1">
      <alignment horizontal="center" vertical="center" wrapText="1"/>
    </xf>
    <xf numFmtId="0" fontId="5" fillId="0" borderId="52" xfId="2" applyNumberFormat="1" applyFont="1" applyBorder="1" applyAlignment="1">
      <alignment horizontal="center" vertical="center" wrapText="1"/>
    </xf>
    <xf numFmtId="0" fontId="5" fillId="0" borderId="19" xfId="2" applyNumberFormat="1" applyFont="1" applyBorder="1" applyAlignment="1">
      <alignment horizontal="center" vertical="center" wrapText="1"/>
    </xf>
    <xf numFmtId="3" fontId="5" fillId="0" borderId="55" xfId="2" applyFont="1" applyFill="1" applyBorder="1" applyAlignment="1">
      <alignment horizontal="left" vertical="center" indent="1"/>
    </xf>
    <xf numFmtId="3" fontId="5" fillId="0" borderId="81" xfId="2" applyFont="1" applyFill="1" applyBorder="1" applyAlignment="1">
      <alignment horizontal="left" vertical="center" indent="1"/>
    </xf>
    <xf numFmtId="0" fontId="5" fillId="0" borderId="78" xfId="2" applyNumberFormat="1" applyFont="1" applyBorder="1" applyAlignment="1">
      <alignment horizontal="center" vertical="center" wrapText="1"/>
    </xf>
    <xf numFmtId="0" fontId="5" fillId="0" borderId="21" xfId="2" applyNumberFormat="1" applyFont="1" applyBorder="1" applyAlignment="1">
      <alignment horizontal="center" vertical="center" wrapText="1"/>
    </xf>
    <xf numFmtId="0" fontId="11" fillId="0" borderId="36" xfId="0" applyFont="1" applyBorder="1" applyAlignment="1">
      <alignment horizontal="center"/>
    </xf>
    <xf numFmtId="0" fontId="11" fillId="0" borderId="14" xfId="0" applyFont="1" applyBorder="1" applyAlignment="1">
      <alignment horizontal="center"/>
    </xf>
  </cellXfs>
  <cellStyles count="6">
    <cellStyle name="Comma" xfId="1" builtinId="3"/>
    <cellStyle name="Comma 2" xfId="3" xr:uid="{00000000-0005-0000-0000-000001000000}"/>
    <cellStyle name="Comma 3" xfId="5" xr:uid="{00000000-0005-0000-0000-000002000000}"/>
    <cellStyle name="Normal" xfId="0" builtinId="0"/>
    <cellStyle name="Normal 2" xfId="2" xr:uid="{00000000-0005-0000-0000-000004000000}"/>
    <cellStyle name="Normal 3" xfId="4" xr:uid="{00000000-0005-0000-0000-000005000000}"/>
  </cellStyles>
  <dxfs count="0"/>
  <tableStyles count="0" defaultTableStyle="TableStyleMedium2" defaultPivotStyle="PivotStyleLight16"/>
  <colors>
    <mruColors>
      <color rgb="FFFFFFCC"/>
      <color rgb="FFEDEDED"/>
      <color rgb="FFE7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worldsteel Theme">
  <a:themeElements>
    <a:clrScheme name="worldsteel theme">
      <a:dk1>
        <a:srgbClr val="000000"/>
      </a:dk1>
      <a:lt1>
        <a:sysClr val="window" lastClr="FFFFFF"/>
      </a:lt1>
      <a:dk2>
        <a:srgbClr val="000000"/>
      </a:dk2>
      <a:lt2>
        <a:srgbClr val="E7E6E6"/>
      </a:lt2>
      <a:accent1>
        <a:srgbClr val="00B0E7"/>
      </a:accent1>
      <a:accent2>
        <a:srgbClr val="5C7F92"/>
      </a:accent2>
      <a:accent3>
        <a:srgbClr val="76A519"/>
      </a:accent3>
      <a:accent4>
        <a:srgbClr val="000000"/>
      </a:accent4>
      <a:accent5>
        <a:srgbClr val="841C80"/>
      </a:accent5>
      <a:accent6>
        <a:srgbClr val="FF6905"/>
      </a:accent6>
      <a:hlink>
        <a:srgbClr val="00B0E7"/>
      </a:hlink>
      <a:folHlink>
        <a:srgbClr val="00B0E7"/>
      </a:folHlink>
    </a:clrScheme>
    <a:fontScheme name="worldsteel">
      <a:majorFont>
        <a:latin typeface="Open Sans"/>
        <a:ea typeface=""/>
        <a:cs typeface=""/>
      </a:majorFont>
      <a:minorFont>
        <a:latin typeface="Open San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FCCF6-EB31-47A4-B0FF-F78A8061F10F}">
  <sheetPr codeName="Sheet1">
    <pageSetUpPr fitToPage="1"/>
  </sheetPr>
  <dimension ref="A1:R145"/>
  <sheetViews>
    <sheetView showRowColHeaders="0" tabSelected="1" topLeftCell="A106" zoomScale="105" zoomScaleNormal="105" zoomScaleSheetLayoutView="100" workbookViewId="0">
      <selection activeCell="H109" sqref="H109"/>
    </sheetView>
  </sheetViews>
  <sheetFormatPr defaultRowHeight="16.5"/>
  <cols>
    <col min="1" max="1" width="3.44140625" customWidth="1"/>
    <col min="2" max="2" width="1.44140625" customWidth="1"/>
    <col min="3" max="3" width="17" customWidth="1"/>
    <col min="4" max="15" width="12.77734375" customWidth="1"/>
    <col min="16" max="16" width="12.6640625" customWidth="1"/>
    <col min="17" max="17" width="26.5546875" customWidth="1"/>
  </cols>
  <sheetData>
    <row r="1" spans="3:16" ht="21">
      <c r="C1" s="337" t="s">
        <v>0</v>
      </c>
      <c r="D1" s="337"/>
      <c r="E1" s="337"/>
      <c r="F1" s="337"/>
      <c r="G1" s="337"/>
      <c r="H1" s="337"/>
      <c r="I1" s="337"/>
      <c r="J1" s="337"/>
      <c r="K1" s="337"/>
      <c r="L1" s="337"/>
      <c r="M1" s="337"/>
      <c r="N1" s="337"/>
      <c r="O1" s="337"/>
      <c r="P1" s="337"/>
    </row>
    <row r="2" spans="3:16" ht="18">
      <c r="C2" s="34"/>
      <c r="D2" s="118" t="s">
        <v>168</v>
      </c>
      <c r="E2" s="34"/>
      <c r="F2" s="34"/>
      <c r="G2" s="34"/>
      <c r="H2" s="34"/>
      <c r="I2" s="34"/>
      <c r="J2" s="34"/>
      <c r="K2" s="34"/>
      <c r="L2" s="31" t="s">
        <v>1</v>
      </c>
      <c r="M2" s="34"/>
      <c r="N2" s="34"/>
      <c r="O2" s="34"/>
    </row>
    <row r="3" spans="3:16">
      <c r="C3" s="1"/>
      <c r="D3" s="1"/>
      <c r="E3" s="1"/>
      <c r="F3" s="1"/>
      <c r="G3" s="1"/>
      <c r="H3" s="1"/>
      <c r="I3" s="1"/>
      <c r="J3" s="1"/>
      <c r="K3" s="1"/>
      <c r="L3" s="160" t="s">
        <v>2</v>
      </c>
      <c r="M3" s="1"/>
      <c r="N3" s="1"/>
      <c r="O3" s="1"/>
    </row>
    <row r="4" spans="3:16">
      <c r="C4" s="1"/>
      <c r="D4" s="1"/>
      <c r="E4" s="1"/>
      <c r="F4" s="67" t="s">
        <v>3</v>
      </c>
      <c r="G4" s="338"/>
      <c r="H4" s="338"/>
      <c r="I4" s="339"/>
      <c r="J4" s="1"/>
      <c r="K4" s="1"/>
      <c r="L4" s="174" t="s">
        <v>185</v>
      </c>
      <c r="M4" s="1"/>
      <c r="N4" s="1"/>
      <c r="O4" s="1"/>
    </row>
    <row r="5" spans="3:16">
      <c r="C5" s="1"/>
      <c r="D5" s="1"/>
      <c r="E5" s="1"/>
      <c r="F5" s="68" t="s">
        <v>4</v>
      </c>
      <c r="G5" s="340"/>
      <c r="H5" s="340"/>
      <c r="I5" s="341"/>
      <c r="J5" s="1"/>
      <c r="K5" s="1"/>
      <c r="L5" s="32" t="s">
        <v>5</v>
      </c>
      <c r="M5" s="1"/>
      <c r="N5" s="1"/>
      <c r="O5" s="1"/>
    </row>
    <row r="6" spans="3:16">
      <c r="C6" s="1"/>
      <c r="D6" s="1"/>
      <c r="E6" s="1"/>
      <c r="F6" s="154" t="s">
        <v>169</v>
      </c>
      <c r="G6" s="342">
        <v>2020</v>
      </c>
      <c r="H6" s="342"/>
      <c r="I6" s="343"/>
      <c r="J6" s="1"/>
      <c r="K6" s="1"/>
      <c r="L6" s="33" t="s">
        <v>6</v>
      </c>
      <c r="M6" s="1"/>
      <c r="N6" s="1"/>
      <c r="O6" s="1"/>
    </row>
    <row r="7" spans="3:16">
      <c r="C7" s="3"/>
      <c r="D7" s="3"/>
      <c r="E7" s="4"/>
      <c r="F7" s="5" t="b">
        <v>0</v>
      </c>
      <c r="G7" s="159"/>
      <c r="H7" s="159"/>
      <c r="I7" s="159"/>
      <c r="J7" s="159"/>
      <c r="K7" s="3"/>
      <c r="L7" s="3"/>
      <c r="M7" s="3"/>
      <c r="N7" s="3"/>
      <c r="O7" s="6"/>
      <c r="P7" s="6"/>
    </row>
    <row r="8" spans="3:16">
      <c r="C8" s="3"/>
      <c r="D8" s="159"/>
      <c r="E8" s="344" t="s">
        <v>7</v>
      </c>
      <c r="F8" s="344"/>
      <c r="G8" s="344"/>
      <c r="H8" s="344"/>
      <c r="I8" s="344"/>
      <c r="J8" s="344"/>
      <c r="K8" s="3"/>
      <c r="L8" s="3"/>
      <c r="M8" s="3"/>
      <c r="N8" s="3"/>
      <c r="O8" s="3"/>
      <c r="P8" s="3"/>
    </row>
    <row r="9" spans="3:16">
      <c r="C9" s="1"/>
      <c r="D9" s="35" t="s">
        <v>8</v>
      </c>
      <c r="E9" s="155"/>
      <c r="F9" s="35" t="s">
        <v>9</v>
      </c>
      <c r="G9" s="155"/>
      <c r="H9" s="35" t="s">
        <v>10</v>
      </c>
      <c r="I9" s="155"/>
      <c r="J9" s="35" t="s">
        <v>11</v>
      </c>
      <c r="K9" s="250"/>
      <c r="L9" s="35" t="s">
        <v>12</v>
      </c>
      <c r="M9" s="161"/>
      <c r="N9" s="2"/>
      <c r="O9" s="2"/>
    </row>
    <row r="10" spans="3:16">
      <c r="C10" s="1"/>
      <c r="D10" s="36" t="s">
        <v>13</v>
      </c>
      <c r="E10" s="156"/>
      <c r="F10" s="36" t="s">
        <v>14</v>
      </c>
      <c r="G10" s="156"/>
      <c r="H10" s="36" t="s">
        <v>15</v>
      </c>
      <c r="I10" s="156"/>
      <c r="J10" s="36" t="s">
        <v>16</v>
      </c>
      <c r="K10" s="251"/>
      <c r="L10" s="36" t="s">
        <v>17</v>
      </c>
      <c r="M10" s="162"/>
      <c r="N10" s="2"/>
      <c r="O10" s="2"/>
    </row>
    <row r="11" spans="3:16">
      <c r="C11" s="1"/>
      <c r="D11" s="36" t="s">
        <v>18</v>
      </c>
      <c r="E11" s="156"/>
      <c r="F11" s="36" t="s">
        <v>19</v>
      </c>
      <c r="G11" s="156"/>
      <c r="H11" s="36" t="s">
        <v>20</v>
      </c>
      <c r="I11" s="156"/>
      <c r="J11" s="36" t="s">
        <v>21</v>
      </c>
      <c r="K11" s="251"/>
      <c r="L11" s="36" t="s">
        <v>22</v>
      </c>
      <c r="M11" s="162"/>
      <c r="N11" s="2"/>
      <c r="O11" s="2"/>
    </row>
    <row r="12" spans="3:16">
      <c r="C12" s="1"/>
      <c r="D12" s="36" t="s">
        <v>23</v>
      </c>
      <c r="E12" s="156"/>
      <c r="F12" s="36" t="s">
        <v>24</v>
      </c>
      <c r="G12" s="156"/>
      <c r="H12" s="36" t="s">
        <v>25</v>
      </c>
      <c r="I12" s="156"/>
      <c r="J12" s="36" t="s">
        <v>26</v>
      </c>
      <c r="K12" s="251"/>
      <c r="L12" s="36" t="s">
        <v>211</v>
      </c>
      <c r="M12" s="162"/>
      <c r="N12" s="2"/>
      <c r="O12" s="2"/>
    </row>
    <row r="13" spans="3:16">
      <c r="C13" s="1"/>
      <c r="D13" s="37" t="s">
        <v>27</v>
      </c>
      <c r="E13" s="157"/>
      <c r="F13" s="37" t="s">
        <v>28</v>
      </c>
      <c r="G13" s="157"/>
      <c r="H13" s="37" t="s">
        <v>29</v>
      </c>
      <c r="I13" s="157"/>
      <c r="J13" s="37" t="s">
        <v>30</v>
      </c>
      <c r="K13" s="252"/>
      <c r="L13" s="37" t="s">
        <v>212</v>
      </c>
      <c r="M13" s="163"/>
      <c r="N13" s="2"/>
      <c r="O13" s="2"/>
    </row>
    <row r="14" spans="3:16">
      <c r="C14" s="8"/>
      <c r="D14" s="9"/>
      <c r="E14" s="7"/>
      <c r="F14" s="9"/>
      <c r="G14" s="7"/>
      <c r="H14" s="9"/>
      <c r="I14" s="7"/>
      <c r="J14" s="9"/>
      <c r="K14" s="7"/>
      <c r="L14" s="7"/>
      <c r="M14" s="7"/>
      <c r="N14" s="8"/>
      <c r="O14" s="8"/>
      <c r="P14" s="8"/>
    </row>
    <row r="15" spans="3:16">
      <c r="C15" s="3"/>
      <c r="D15" s="3"/>
      <c r="E15" s="3"/>
      <c r="F15" s="345" t="s">
        <v>31</v>
      </c>
      <c r="G15" s="345"/>
      <c r="H15" s="345"/>
      <c r="I15" s="345"/>
      <c r="J15" s="29"/>
      <c r="K15" s="10"/>
      <c r="L15" s="10"/>
      <c r="M15" s="10"/>
      <c r="N15" s="3"/>
      <c r="O15" s="3"/>
      <c r="P15" s="3"/>
    </row>
    <row r="16" spans="3:16">
      <c r="C16" s="1"/>
      <c r="D16" s="1"/>
      <c r="E16" s="27"/>
      <c r="F16" s="346" t="s">
        <v>32</v>
      </c>
      <c r="G16" s="346"/>
      <c r="H16" s="347"/>
      <c r="I16" s="315"/>
      <c r="J16" s="28"/>
      <c r="K16" s="10"/>
      <c r="L16" s="10"/>
      <c r="M16" s="10"/>
      <c r="N16" s="1"/>
      <c r="O16" s="2"/>
      <c r="P16" s="2"/>
    </row>
    <row r="17" spans="1:16">
      <c r="A17" s="1"/>
      <c r="B17" s="1"/>
      <c r="C17" s="1"/>
      <c r="D17" s="1"/>
      <c r="E17" s="27"/>
      <c r="F17" s="348" t="s">
        <v>33</v>
      </c>
      <c r="G17" s="349"/>
      <c r="H17" s="350"/>
      <c r="I17" s="316"/>
      <c r="J17" s="28"/>
      <c r="K17" s="10"/>
      <c r="L17" s="10"/>
      <c r="M17" s="10"/>
      <c r="N17" s="1"/>
      <c r="O17" s="2"/>
      <c r="P17" s="2"/>
    </row>
    <row r="18" spans="1:16">
      <c r="A18" s="1"/>
      <c r="B18" s="1"/>
      <c r="C18" s="1"/>
      <c r="D18" s="1"/>
      <c r="E18" s="27"/>
      <c r="F18" s="348" t="s">
        <v>34</v>
      </c>
      <c r="G18" s="349"/>
      <c r="H18" s="350"/>
      <c r="I18" s="316"/>
      <c r="J18" s="28"/>
      <c r="K18" s="10"/>
      <c r="L18" s="10"/>
      <c r="M18" s="10"/>
      <c r="N18" s="1"/>
      <c r="O18" s="2"/>
      <c r="P18" s="2"/>
    </row>
    <row r="19" spans="1:16">
      <c r="A19" s="1"/>
      <c r="B19" s="1"/>
      <c r="C19" s="1"/>
      <c r="D19" s="1"/>
      <c r="E19" s="27"/>
      <c r="F19" s="348" t="s">
        <v>35</v>
      </c>
      <c r="G19" s="349"/>
      <c r="H19" s="350"/>
      <c r="I19" s="316"/>
      <c r="J19" s="28"/>
      <c r="K19" s="10"/>
      <c r="L19" s="10"/>
      <c r="M19" s="10"/>
      <c r="N19" s="1"/>
      <c r="O19" s="2"/>
      <c r="P19" s="2"/>
    </row>
    <row r="20" spans="1:16">
      <c r="A20" s="1"/>
      <c r="B20" s="1"/>
      <c r="C20" s="1"/>
      <c r="D20" s="1"/>
      <c r="E20" s="27"/>
      <c r="F20" s="334" t="s">
        <v>36</v>
      </c>
      <c r="G20" s="335"/>
      <c r="H20" s="336"/>
      <c r="I20" s="316"/>
      <c r="J20" s="28"/>
      <c r="K20" s="1"/>
      <c r="L20" s="1"/>
      <c r="M20" s="1"/>
      <c r="N20" s="1"/>
      <c r="O20" s="2"/>
      <c r="P20" s="2"/>
    </row>
    <row r="21" spans="1:16">
      <c r="A21" s="1"/>
      <c r="B21" s="1"/>
      <c r="C21" s="1"/>
      <c r="D21" s="1"/>
      <c r="E21" s="27"/>
      <c r="F21" s="334" t="s">
        <v>37</v>
      </c>
      <c r="G21" s="335"/>
      <c r="H21" s="336"/>
      <c r="I21" s="316"/>
      <c r="J21" s="28"/>
      <c r="K21" s="1"/>
      <c r="L21" s="1"/>
      <c r="M21" s="1"/>
      <c r="N21" s="1"/>
      <c r="O21" s="2"/>
      <c r="P21" s="2"/>
    </row>
    <row r="22" spans="1:16">
      <c r="A22" s="1"/>
      <c r="B22" s="1"/>
      <c r="C22" s="1"/>
      <c r="D22" s="1"/>
      <c r="E22" s="27"/>
      <c r="F22" s="334" t="s">
        <v>38</v>
      </c>
      <c r="G22" s="335"/>
      <c r="H22" s="336"/>
      <c r="I22" s="316"/>
      <c r="J22" s="28"/>
      <c r="K22" s="1"/>
      <c r="L22" s="1"/>
      <c r="M22" s="1"/>
      <c r="N22" s="1"/>
      <c r="O22" s="2"/>
      <c r="P22" s="2"/>
    </row>
    <row r="23" spans="1:16">
      <c r="A23" s="1"/>
      <c r="B23" s="1"/>
      <c r="C23" s="1"/>
      <c r="D23" s="1"/>
      <c r="E23" s="27"/>
      <c r="F23" s="334" t="s">
        <v>39</v>
      </c>
      <c r="G23" s="335"/>
      <c r="H23" s="336"/>
      <c r="I23" s="316"/>
      <c r="J23" s="28"/>
      <c r="K23" s="1"/>
      <c r="L23" s="1"/>
      <c r="M23" s="1"/>
      <c r="N23" s="1"/>
      <c r="O23" s="2"/>
      <c r="P23" s="2"/>
    </row>
    <row r="24" spans="1:16">
      <c r="A24" s="1"/>
      <c r="B24" s="1"/>
      <c r="C24" s="1"/>
      <c r="D24" s="1"/>
      <c r="E24" s="27"/>
      <c r="F24" s="334" t="s">
        <v>40</v>
      </c>
      <c r="G24" s="335"/>
      <c r="H24" s="336"/>
      <c r="I24" s="317">
        <f>SUM(I21:I23)</f>
        <v>0</v>
      </c>
      <c r="J24" s="28"/>
      <c r="K24" s="1"/>
      <c r="L24" s="1"/>
      <c r="M24" s="1"/>
      <c r="N24" s="1"/>
      <c r="O24" s="2"/>
      <c r="P24" s="2"/>
    </row>
    <row r="25" spans="1:16">
      <c r="A25" s="1"/>
      <c r="B25" s="1"/>
      <c r="C25" s="1"/>
      <c r="D25" s="1"/>
      <c r="E25" s="27"/>
      <c r="F25" s="334" t="s">
        <v>41</v>
      </c>
      <c r="G25" s="335"/>
      <c r="H25" s="336"/>
      <c r="I25" s="318"/>
      <c r="J25" s="28"/>
      <c r="K25" s="1"/>
      <c r="L25" s="1"/>
      <c r="M25" s="1"/>
      <c r="N25" s="1"/>
      <c r="O25" s="2"/>
      <c r="P25" s="2"/>
    </row>
    <row r="26" spans="1:16">
      <c r="A26" s="8"/>
      <c r="B26" s="8"/>
      <c r="C26" s="8"/>
      <c r="D26" s="8"/>
      <c r="E26" s="27"/>
      <c r="F26" s="334" t="s">
        <v>42</v>
      </c>
      <c r="G26" s="335"/>
      <c r="H26" s="336"/>
      <c r="I26" s="319"/>
      <c r="J26" s="30"/>
      <c r="K26" s="8"/>
      <c r="L26" s="8"/>
      <c r="M26" s="8"/>
      <c r="N26" s="8"/>
      <c r="O26" s="8"/>
      <c r="P26" s="8"/>
    </row>
    <row r="27" spans="1:16">
      <c r="A27" s="8"/>
      <c r="B27" s="8"/>
      <c r="C27" s="8"/>
      <c r="D27" s="8"/>
      <c r="E27" s="27"/>
      <c r="F27" s="334" t="s">
        <v>43</v>
      </c>
      <c r="G27" s="335"/>
      <c r="H27" s="336"/>
      <c r="I27" s="319"/>
      <c r="J27" s="30"/>
      <c r="K27" s="8"/>
      <c r="L27" s="8"/>
      <c r="M27" s="8"/>
      <c r="N27" s="8"/>
      <c r="O27" s="8"/>
      <c r="P27" s="8"/>
    </row>
    <row r="28" spans="1:16">
      <c r="A28" s="8"/>
      <c r="B28" s="8"/>
      <c r="C28" s="8"/>
      <c r="D28" s="8"/>
      <c r="E28" s="27"/>
      <c r="F28" s="334" t="s">
        <v>44</v>
      </c>
      <c r="G28" s="335"/>
      <c r="H28" s="336"/>
      <c r="I28" s="319"/>
      <c r="J28" s="30"/>
      <c r="K28" s="8"/>
      <c r="L28" s="8"/>
      <c r="M28" s="8"/>
      <c r="N28" s="8"/>
      <c r="O28" s="8"/>
      <c r="P28" s="8"/>
    </row>
    <row r="29" spans="1:16">
      <c r="A29" s="8"/>
      <c r="B29" s="8"/>
      <c r="C29" s="8"/>
      <c r="D29" s="8"/>
      <c r="E29" s="27"/>
      <c r="F29" s="334" t="s">
        <v>45</v>
      </c>
      <c r="G29" s="335"/>
      <c r="H29" s="336"/>
      <c r="I29" s="319"/>
      <c r="J29" s="30"/>
      <c r="K29" s="8"/>
      <c r="L29" s="8"/>
      <c r="M29" s="8"/>
      <c r="N29" s="8"/>
      <c r="O29" s="8"/>
      <c r="P29" s="26"/>
    </row>
    <row r="30" spans="1:16">
      <c r="A30" s="8"/>
      <c r="B30" s="8"/>
      <c r="C30" s="8"/>
      <c r="D30" s="8"/>
      <c r="E30" s="27"/>
      <c r="F30" s="351" t="s">
        <v>46</v>
      </c>
      <c r="G30" s="352"/>
      <c r="H30" s="353"/>
      <c r="I30" s="320">
        <f>SUM(I26:I29)</f>
        <v>0</v>
      </c>
      <c r="J30" s="30"/>
      <c r="K30" s="8"/>
      <c r="L30" s="8"/>
      <c r="M30" s="8"/>
      <c r="N30" s="8"/>
      <c r="O30" s="8"/>
      <c r="P30" s="8"/>
    </row>
    <row r="31" spans="1:16">
      <c r="A31" s="8"/>
      <c r="B31" s="8"/>
      <c r="C31" s="8"/>
      <c r="D31" s="8"/>
      <c r="E31" s="175"/>
      <c r="F31" s="354" t="s">
        <v>171</v>
      </c>
      <c r="G31" s="355"/>
      <c r="H31" s="356"/>
      <c r="I31" s="321">
        <f>SUM(I24,I30)</f>
        <v>0</v>
      </c>
      <c r="J31" s="30"/>
      <c r="K31" s="8"/>
      <c r="L31" s="8"/>
      <c r="M31" s="8"/>
      <c r="N31" s="8"/>
      <c r="O31" s="8"/>
      <c r="P31" s="8"/>
    </row>
    <row r="32" spans="1:16">
      <c r="A32" s="8"/>
      <c r="B32" s="8"/>
      <c r="C32" s="8"/>
      <c r="D32" s="8"/>
      <c r="E32" s="27"/>
      <c r="F32" s="357" t="s">
        <v>47</v>
      </c>
      <c r="G32" s="358"/>
      <c r="H32" s="359"/>
      <c r="I32" s="322"/>
      <c r="J32" s="30"/>
      <c r="K32" s="8"/>
      <c r="L32" s="8"/>
      <c r="M32" s="8"/>
      <c r="N32" s="8"/>
      <c r="O32" s="8"/>
      <c r="P32" s="8"/>
    </row>
    <row r="33" spans="1:16">
      <c r="A33" s="8"/>
      <c r="B33" s="8"/>
      <c r="C33" s="8"/>
      <c r="D33" s="8"/>
      <c r="E33" s="27"/>
      <c r="F33" s="334" t="s">
        <v>48</v>
      </c>
      <c r="G33" s="335"/>
      <c r="H33" s="336"/>
      <c r="I33" s="323"/>
      <c r="J33" s="30"/>
      <c r="K33" s="8"/>
      <c r="L33" s="8"/>
      <c r="M33" s="8"/>
      <c r="N33" s="8"/>
      <c r="O33" s="8"/>
      <c r="P33" s="8"/>
    </row>
    <row r="34" spans="1:16">
      <c r="A34" s="8"/>
      <c r="B34" s="8"/>
      <c r="C34" s="8"/>
      <c r="D34" s="8"/>
      <c r="E34" s="27"/>
      <c r="F34" s="334" t="s">
        <v>49</v>
      </c>
      <c r="G34" s="335"/>
      <c r="H34" s="336"/>
      <c r="I34" s="323"/>
      <c r="J34" s="30"/>
      <c r="K34" s="8"/>
      <c r="L34" s="8"/>
      <c r="M34" s="8"/>
      <c r="N34" s="8"/>
      <c r="O34" s="8"/>
      <c r="P34" s="8"/>
    </row>
    <row r="35" spans="1:16">
      <c r="A35" s="8"/>
      <c r="B35" s="8"/>
      <c r="C35" s="8"/>
      <c r="D35" s="8"/>
      <c r="E35" s="27"/>
      <c r="F35" s="334" t="s">
        <v>50</v>
      </c>
      <c r="G35" s="335"/>
      <c r="H35" s="336"/>
      <c r="I35" s="323"/>
      <c r="J35" s="30"/>
      <c r="K35" s="8"/>
      <c r="L35" s="8"/>
      <c r="M35" s="8"/>
      <c r="N35" s="8"/>
      <c r="O35" s="8"/>
      <c r="P35" s="8"/>
    </row>
    <row r="36" spans="1:16">
      <c r="A36" s="8"/>
      <c r="B36" s="8"/>
      <c r="C36" s="8"/>
      <c r="D36" s="8"/>
      <c r="E36" s="27"/>
      <c r="F36" s="334" t="s">
        <v>51</v>
      </c>
      <c r="G36" s="335"/>
      <c r="H36" s="336"/>
      <c r="I36" s="317">
        <f>SUM(I34:I35)</f>
        <v>0</v>
      </c>
      <c r="J36" s="30"/>
      <c r="K36" s="8"/>
      <c r="L36" s="8"/>
      <c r="M36" s="8"/>
      <c r="N36" s="8"/>
      <c r="O36" s="8"/>
      <c r="P36" s="8"/>
    </row>
    <row r="37" spans="1:16">
      <c r="A37" s="8"/>
      <c r="B37" s="8"/>
      <c r="C37" s="8"/>
      <c r="D37" s="8"/>
      <c r="E37" s="27"/>
      <c r="F37" s="334" t="s">
        <v>52</v>
      </c>
      <c r="G37" s="335"/>
      <c r="H37" s="336"/>
      <c r="I37" s="324"/>
      <c r="J37" s="30"/>
      <c r="K37" s="8"/>
      <c r="L37" s="8"/>
      <c r="M37" s="8"/>
      <c r="N37" s="8"/>
      <c r="O37" s="8"/>
      <c r="P37" s="26"/>
    </row>
    <row r="38" spans="1:16">
      <c r="A38" s="8"/>
      <c r="B38" s="8"/>
      <c r="C38" s="8"/>
      <c r="D38" s="8"/>
      <c r="E38" s="27"/>
      <c r="F38" s="334" t="s">
        <v>53</v>
      </c>
      <c r="G38" s="335"/>
      <c r="H38" s="336"/>
      <c r="I38" s="324"/>
      <c r="J38" s="30"/>
      <c r="K38" s="8"/>
      <c r="L38" s="8"/>
      <c r="M38" s="8"/>
      <c r="N38" s="8"/>
      <c r="O38" s="8"/>
      <c r="P38" s="26"/>
    </row>
    <row r="39" spans="1:16">
      <c r="A39" s="8"/>
      <c r="B39" s="8"/>
      <c r="C39" s="8"/>
      <c r="D39" s="8"/>
      <c r="E39" s="27"/>
      <c r="F39" s="334" t="s">
        <v>54</v>
      </c>
      <c r="G39" s="335"/>
      <c r="H39" s="336"/>
      <c r="I39" s="324"/>
      <c r="J39" s="30"/>
      <c r="K39" s="8"/>
      <c r="L39" s="8"/>
      <c r="M39" s="8"/>
      <c r="N39" s="8"/>
      <c r="O39" s="8"/>
      <c r="P39" s="26"/>
    </row>
    <row r="40" spans="1:16">
      <c r="A40" s="8"/>
      <c r="B40" s="8"/>
      <c r="C40" s="8"/>
      <c r="D40" s="8"/>
      <c r="E40" s="27"/>
      <c r="F40" s="334" t="s">
        <v>55</v>
      </c>
      <c r="G40" s="335"/>
      <c r="H40" s="336"/>
      <c r="I40" s="325"/>
      <c r="J40" s="30"/>
      <c r="K40" s="8"/>
      <c r="L40" s="8"/>
      <c r="M40" s="8"/>
      <c r="N40" s="8"/>
      <c r="O40" s="8"/>
      <c r="P40" s="8"/>
    </row>
    <row r="41" spans="1:16">
      <c r="A41" s="8"/>
      <c r="B41" s="8"/>
      <c r="C41" s="8"/>
      <c r="D41" s="8"/>
      <c r="E41" s="27"/>
      <c r="F41" s="351" t="s">
        <v>56</v>
      </c>
      <c r="G41" s="352"/>
      <c r="H41" s="353"/>
      <c r="I41" s="326"/>
      <c r="J41" s="30"/>
      <c r="K41" s="8"/>
      <c r="L41" s="8"/>
      <c r="M41" s="8"/>
      <c r="N41" s="8"/>
      <c r="O41" s="8"/>
      <c r="P41" s="8"/>
    </row>
    <row r="42" spans="1:16">
      <c r="A42" s="8"/>
      <c r="B42" s="8"/>
      <c r="C42" s="8"/>
      <c r="D42" s="8"/>
      <c r="E42" s="27"/>
      <c r="F42" s="334" t="s">
        <v>57</v>
      </c>
      <c r="G42" s="335"/>
      <c r="H42" s="336"/>
      <c r="I42" s="325"/>
      <c r="J42" s="30"/>
      <c r="K42" s="8"/>
      <c r="L42" s="8"/>
      <c r="M42" s="8"/>
      <c r="N42" s="8"/>
      <c r="O42" s="8"/>
      <c r="P42" s="26"/>
    </row>
    <row r="43" spans="1:16">
      <c r="A43" s="8"/>
      <c r="B43" s="8"/>
      <c r="C43" s="8"/>
      <c r="D43" s="8"/>
      <c r="E43" s="27"/>
      <c r="F43" s="334" t="s">
        <v>58</v>
      </c>
      <c r="G43" s="335"/>
      <c r="H43" s="336"/>
      <c r="I43" s="326"/>
      <c r="J43" s="30"/>
      <c r="K43" s="8"/>
      <c r="L43" s="8"/>
      <c r="M43" s="8"/>
      <c r="N43" s="8"/>
      <c r="O43" s="8"/>
      <c r="P43" s="26"/>
    </row>
    <row r="44" spans="1:16">
      <c r="A44" s="8"/>
      <c r="B44" s="8"/>
      <c r="C44" s="8"/>
      <c r="D44" s="8"/>
      <c r="E44" s="27"/>
      <c r="F44" s="334" t="s">
        <v>59</v>
      </c>
      <c r="G44" s="335"/>
      <c r="H44" s="336"/>
      <c r="I44" s="324"/>
      <c r="J44" s="30"/>
      <c r="K44" s="8"/>
      <c r="L44" s="8"/>
      <c r="M44" s="8"/>
      <c r="N44" s="8"/>
      <c r="O44" s="8"/>
      <c r="P44" s="26"/>
    </row>
    <row r="45" spans="1:16">
      <c r="A45" s="8"/>
      <c r="B45" s="8"/>
      <c r="C45" s="8"/>
      <c r="D45" s="8"/>
      <c r="E45" s="27"/>
      <c r="F45" s="334" t="s">
        <v>60</v>
      </c>
      <c r="G45" s="335"/>
      <c r="H45" s="336"/>
      <c r="I45" s="324"/>
      <c r="J45" s="30"/>
      <c r="K45" s="8"/>
      <c r="L45" s="8"/>
      <c r="M45" s="8"/>
      <c r="N45" s="8"/>
      <c r="O45" s="8"/>
      <c r="P45" s="26"/>
    </row>
    <row r="46" spans="1:16">
      <c r="A46" s="1"/>
      <c r="B46" s="1"/>
      <c r="C46" s="1"/>
      <c r="D46" s="1"/>
      <c r="E46" s="27"/>
      <c r="F46" s="348" t="s">
        <v>61</v>
      </c>
      <c r="G46" s="349"/>
      <c r="H46" s="350"/>
      <c r="I46" s="325"/>
      <c r="J46" s="1"/>
      <c r="K46" s="1"/>
      <c r="L46" s="1"/>
      <c r="M46" s="1"/>
      <c r="N46" s="1"/>
      <c r="O46" s="2"/>
      <c r="P46" s="2"/>
    </row>
    <row r="47" spans="1:16">
      <c r="A47" s="1"/>
      <c r="B47" s="1"/>
      <c r="C47" s="1"/>
      <c r="D47" s="1"/>
      <c r="E47" s="27"/>
      <c r="F47" s="348" t="s">
        <v>62</v>
      </c>
      <c r="G47" s="349"/>
      <c r="H47" s="350"/>
      <c r="I47" s="325"/>
      <c r="J47" s="1"/>
      <c r="K47" s="1"/>
      <c r="L47" s="1"/>
      <c r="M47" s="1"/>
      <c r="N47" s="1"/>
      <c r="O47" s="2"/>
      <c r="P47" s="2"/>
    </row>
    <row r="48" spans="1:16">
      <c r="A48" s="1"/>
      <c r="B48" s="1"/>
      <c r="C48" s="1"/>
      <c r="D48" s="1"/>
      <c r="E48" s="27"/>
      <c r="F48" s="361" t="s">
        <v>63</v>
      </c>
      <c r="G48" s="362"/>
      <c r="H48" s="363"/>
      <c r="I48" s="78" t="s">
        <v>64</v>
      </c>
      <c r="J48" s="1"/>
      <c r="K48" s="1"/>
      <c r="L48" s="1"/>
      <c r="M48" s="1"/>
      <c r="N48" s="1"/>
      <c r="O48" s="2"/>
      <c r="P48" s="2"/>
    </row>
    <row r="49" spans="1:16">
      <c r="A49" s="1"/>
      <c r="B49" s="1"/>
      <c r="C49" s="1"/>
      <c r="D49" s="1"/>
      <c r="E49" s="175"/>
      <c r="F49" s="10"/>
      <c r="G49" s="10"/>
      <c r="H49" s="10"/>
      <c r="I49" s="216"/>
      <c r="J49" s="1"/>
      <c r="K49" s="1"/>
      <c r="L49" s="1"/>
      <c r="M49" s="1"/>
      <c r="N49" s="1"/>
      <c r="O49" s="2"/>
      <c r="P49" s="2"/>
    </row>
    <row r="50" spans="1:16">
      <c r="A50" s="1"/>
      <c r="B50" s="1"/>
      <c r="C50" s="1"/>
      <c r="D50" s="1"/>
      <c r="E50" s="175"/>
      <c r="F50" s="345" t="s">
        <v>183</v>
      </c>
      <c r="G50" s="345"/>
      <c r="H50" s="345"/>
      <c r="I50" s="345"/>
      <c r="J50" s="218"/>
      <c r="K50" s="1"/>
      <c r="L50" s="1"/>
      <c r="M50" s="1"/>
      <c r="N50" s="1"/>
      <c r="O50" s="2"/>
      <c r="P50" s="2"/>
    </row>
    <row r="51" spans="1:16" ht="22.5">
      <c r="A51" s="1"/>
      <c r="B51" s="1"/>
      <c r="C51" s="1"/>
      <c r="D51" s="1"/>
      <c r="E51" s="175"/>
      <c r="F51" s="364" t="s">
        <v>177</v>
      </c>
      <c r="G51" s="365"/>
      <c r="H51" s="221" t="s">
        <v>72</v>
      </c>
      <c r="I51" s="219" t="s">
        <v>74</v>
      </c>
      <c r="J51" s="110"/>
      <c r="K51" s="1"/>
      <c r="L51" s="1"/>
      <c r="M51" s="1"/>
      <c r="N51" s="1"/>
      <c r="O51" s="2"/>
      <c r="P51" s="2"/>
    </row>
    <row r="52" spans="1:16">
      <c r="A52" s="1"/>
      <c r="B52" s="1"/>
      <c r="C52" s="1"/>
      <c r="D52" s="1"/>
      <c r="E52" s="175"/>
      <c r="F52" s="366"/>
      <c r="G52" s="367"/>
      <c r="H52" s="222" t="s">
        <v>179</v>
      </c>
      <c r="I52" s="220" t="s">
        <v>178</v>
      </c>
      <c r="K52" s="107"/>
      <c r="L52" s="1"/>
      <c r="M52" s="1"/>
      <c r="N52" s="1"/>
      <c r="O52" s="2"/>
      <c r="P52" s="2"/>
    </row>
    <row r="53" spans="1:16">
      <c r="A53" s="1"/>
      <c r="B53" s="1"/>
      <c r="C53" s="1"/>
      <c r="D53" s="1"/>
      <c r="E53" s="175"/>
      <c r="F53" s="334" t="s">
        <v>182</v>
      </c>
      <c r="G53" s="335"/>
      <c r="H53" s="223">
        <v>9.8000000000000007</v>
      </c>
      <c r="I53" s="307">
        <v>0.504</v>
      </c>
      <c r="J53" s="272"/>
      <c r="K53" s="107"/>
      <c r="L53" s="1"/>
      <c r="M53" s="1"/>
      <c r="N53" s="1"/>
      <c r="O53" s="2"/>
      <c r="P53" s="2"/>
    </row>
    <row r="54" spans="1:16">
      <c r="A54" s="1"/>
      <c r="B54" s="1"/>
      <c r="C54" s="1"/>
      <c r="D54" s="1"/>
      <c r="E54" s="175"/>
      <c r="F54" s="334" t="s">
        <v>186</v>
      </c>
      <c r="G54" s="335"/>
      <c r="H54" s="300">
        <f>IF(G6&lt;&gt;0,INDEX(IEA_Ref_HiddenTab!$E$5:$E$55,MATCH(Report!G6,IEA_Ref_HiddenTab!$B$5:$B$55,0)),"")</f>
        <v>9.8000000000000007</v>
      </c>
      <c r="I54" s="301">
        <f>IF(G6&lt;&gt;0,INDEX(IEA_Ref_HiddenTab!$F$5:$F$55,MATCH(Report!G6,IEA_Ref_HiddenTab!$B$5:$B$55,0)),"")</f>
        <v>0.47560000000000002</v>
      </c>
      <c r="J54" s="294"/>
      <c r="K54" s="305"/>
      <c r="L54" s="1"/>
      <c r="M54" s="1"/>
      <c r="N54" s="1"/>
      <c r="O54" s="2"/>
      <c r="P54" s="2"/>
    </row>
    <row r="55" spans="1:16">
      <c r="A55" s="1"/>
      <c r="B55" s="1"/>
      <c r="C55" s="1"/>
      <c r="D55" s="1"/>
      <c r="E55" s="175"/>
      <c r="F55" s="334" t="s">
        <v>175</v>
      </c>
      <c r="G55" s="335"/>
      <c r="H55" s="299"/>
      <c r="I55" s="302"/>
      <c r="J55" s="272"/>
      <c r="K55" s="107"/>
      <c r="L55" s="1"/>
      <c r="M55" s="1"/>
      <c r="N55" s="1"/>
      <c r="O55" s="2"/>
      <c r="P55" s="2"/>
    </row>
    <row r="56" spans="1:16">
      <c r="A56" s="1"/>
      <c r="B56" s="1"/>
      <c r="C56" s="1"/>
      <c r="D56" s="1"/>
      <c r="E56" s="175"/>
      <c r="F56" s="368" t="s">
        <v>176</v>
      </c>
      <c r="G56" s="369"/>
      <c r="H56" s="303"/>
      <c r="I56" s="304"/>
      <c r="J56" s="272"/>
      <c r="K56" s="1"/>
      <c r="L56" s="1"/>
      <c r="M56" s="1"/>
      <c r="N56" s="1"/>
      <c r="O56" s="2"/>
      <c r="P56" s="2"/>
    </row>
    <row r="57" spans="1:16">
      <c r="A57" s="1"/>
      <c r="B57" s="1"/>
      <c r="C57" s="1"/>
      <c r="D57" s="1"/>
      <c r="E57" s="1"/>
      <c r="F57" s="1"/>
      <c r="G57" s="1"/>
      <c r="H57" s="1"/>
      <c r="I57" s="1"/>
      <c r="J57" s="1"/>
      <c r="K57" s="1"/>
      <c r="L57" s="1"/>
      <c r="M57" s="1"/>
      <c r="N57" s="1"/>
      <c r="O57" s="2"/>
      <c r="P57" s="2"/>
    </row>
    <row r="58" spans="1:16">
      <c r="A58" s="3"/>
      <c r="B58" s="3"/>
      <c r="C58" s="38"/>
      <c r="D58" s="39"/>
      <c r="E58" s="331" t="s">
        <v>65</v>
      </c>
      <c r="F58" s="332"/>
      <c r="G58" s="332"/>
      <c r="H58" s="333"/>
      <c r="I58" s="331" t="s">
        <v>66</v>
      </c>
      <c r="J58" s="333"/>
      <c r="K58" s="331" t="s">
        <v>67</v>
      </c>
      <c r="L58" s="332"/>
      <c r="M58" s="332"/>
      <c r="N58" s="332"/>
      <c r="O58" s="333"/>
    </row>
    <row r="59" spans="1:16" ht="33.75" customHeight="1">
      <c r="A59" s="48"/>
      <c r="B59" s="48"/>
      <c r="C59" s="40" t="s">
        <v>170</v>
      </c>
      <c r="D59" s="41" t="s">
        <v>68</v>
      </c>
      <c r="E59" s="71" t="s">
        <v>69</v>
      </c>
      <c r="F59" s="73" t="s">
        <v>70</v>
      </c>
      <c r="G59" s="75" t="s">
        <v>71</v>
      </c>
      <c r="H59" s="69" t="s">
        <v>72</v>
      </c>
      <c r="I59" s="43" t="s">
        <v>73</v>
      </c>
      <c r="J59" s="44" t="s">
        <v>74</v>
      </c>
      <c r="K59" s="71" t="s">
        <v>75</v>
      </c>
      <c r="L59" s="77" t="s">
        <v>76</v>
      </c>
      <c r="M59" s="73" t="s">
        <v>77</v>
      </c>
      <c r="N59" s="69" t="s">
        <v>78</v>
      </c>
      <c r="O59" s="42" t="s">
        <v>79</v>
      </c>
    </row>
    <row r="60" spans="1:16">
      <c r="A60" s="49"/>
      <c r="B60" s="48"/>
      <c r="C60" s="45"/>
      <c r="D60" s="45"/>
      <c r="E60" s="72"/>
      <c r="F60" s="74"/>
      <c r="G60" s="76" t="s">
        <v>80</v>
      </c>
      <c r="H60" s="70" t="s">
        <v>81</v>
      </c>
      <c r="I60" s="46" t="s">
        <v>82</v>
      </c>
      <c r="J60" s="47" t="s">
        <v>82</v>
      </c>
      <c r="K60" s="72" t="s">
        <v>83</v>
      </c>
      <c r="L60" s="74" t="s">
        <v>83</v>
      </c>
      <c r="M60" s="74" t="s">
        <v>83</v>
      </c>
      <c r="N60" s="70" t="s">
        <v>83</v>
      </c>
      <c r="O60" s="47" t="s">
        <v>84</v>
      </c>
    </row>
    <row r="61" spans="1:16">
      <c r="A61" s="254"/>
      <c r="B61" s="50"/>
      <c r="C61" s="51" t="s">
        <v>85</v>
      </c>
      <c r="D61" s="52" t="s">
        <v>86</v>
      </c>
      <c r="E61" s="145"/>
      <c r="F61" s="146"/>
      <c r="G61" s="168">
        <v>0.01</v>
      </c>
      <c r="H61" s="119"/>
      <c r="I61" s="120">
        <f>ROUND(IF(G61&gt;0,44.01*G61/12.011,44.01*0.01/12.011),3)</f>
        <v>3.6999999999999998E-2</v>
      </c>
      <c r="J61" s="121"/>
      <c r="K61" s="79">
        <f t="shared" ref="K61:K87" si="0">ROUND($I61*($E61-$F61),0)</f>
        <v>0</v>
      </c>
      <c r="L61" s="80"/>
      <c r="M61" s="80"/>
      <c r="N61" s="83">
        <f t="shared" ref="N61:N67" si="1">ROUND(IF($J61&gt;0,$J61,0)*($E61-$F61),0)</f>
        <v>0</v>
      </c>
      <c r="O61" s="84">
        <f>ROUND(IF($H61&gt;0,$H61,0)*($E61-$F61)/1000,0)</f>
        <v>0</v>
      </c>
    </row>
    <row r="62" spans="1:16">
      <c r="A62" s="254"/>
      <c r="B62" s="53"/>
      <c r="C62" s="51" t="s">
        <v>87</v>
      </c>
      <c r="D62" s="52" t="s">
        <v>86</v>
      </c>
      <c r="E62" s="145"/>
      <c r="F62" s="146"/>
      <c r="G62" s="168">
        <f>ROUND(3.059*12.011/44.01,3)</f>
        <v>0.83499999999999996</v>
      </c>
      <c r="H62" s="171">
        <v>32.200000000000003</v>
      </c>
      <c r="I62" s="120">
        <f>ROUND(IF(G62&gt;0,44.01*G62/12.011,IF(H62&gt;0, H62, 32.2)*0.095),3)</f>
        <v>3.06</v>
      </c>
      <c r="J62" s="123"/>
      <c r="K62" s="81">
        <f t="shared" si="0"/>
        <v>0</v>
      </c>
      <c r="L62" s="82"/>
      <c r="M62" s="82"/>
      <c r="N62" s="83">
        <f t="shared" si="1"/>
        <v>0</v>
      </c>
      <c r="O62" s="84">
        <f>ROUND(IF($H62&gt;0,$H62,32.2)*($E62-$F62)/1000,0)</f>
        <v>0</v>
      </c>
    </row>
    <row r="63" spans="1:16">
      <c r="A63" s="254"/>
      <c r="B63" s="50"/>
      <c r="C63" s="54" t="s">
        <v>88</v>
      </c>
      <c r="D63" s="55" t="s">
        <v>86</v>
      </c>
      <c r="E63" s="145"/>
      <c r="F63" s="146"/>
      <c r="G63" s="169">
        <f>ROUND(2.955*12.011/44.01,3)</f>
        <v>0.80600000000000005</v>
      </c>
      <c r="H63" s="171">
        <v>31.1</v>
      </c>
      <c r="I63" s="120">
        <f>ROUND(IF(G63&gt;0,44.01*G63/12.011,IF(H63&gt;0, H63,31.1)*0.095),3)</f>
        <v>2.9529999999999998</v>
      </c>
      <c r="J63" s="124"/>
      <c r="K63" s="81">
        <f t="shared" si="0"/>
        <v>0</v>
      </c>
      <c r="L63" s="85"/>
      <c r="M63" s="85"/>
      <c r="N63" s="83">
        <f t="shared" si="1"/>
        <v>0</v>
      </c>
      <c r="O63" s="84">
        <f>ROUND(IF($H63&gt;0,$H63,31.1)*($E63-$F63)/1000,0)</f>
        <v>0</v>
      </c>
      <c r="P63" s="298"/>
    </row>
    <row r="64" spans="1:16">
      <c r="A64" s="254"/>
      <c r="B64" s="53"/>
      <c r="C64" s="54" t="s">
        <v>89</v>
      </c>
      <c r="D64" s="55" t="s">
        <v>86</v>
      </c>
      <c r="E64" s="145"/>
      <c r="F64" s="146"/>
      <c r="G64" s="169">
        <f>ROUND(2.784*12.011/44.01,3)</f>
        <v>0.76</v>
      </c>
      <c r="H64" s="171">
        <v>29.3</v>
      </c>
      <c r="I64" s="120">
        <f>ROUND(IF(G64&gt;0,44.01*G64/12.011,IF(H64&gt;0, H64,29.3)*0.095),3)</f>
        <v>2.7850000000000001</v>
      </c>
      <c r="J64" s="124"/>
      <c r="K64" s="81">
        <f t="shared" si="0"/>
        <v>0</v>
      </c>
      <c r="L64" s="85"/>
      <c r="M64" s="85"/>
      <c r="N64" s="83">
        <f t="shared" si="1"/>
        <v>0</v>
      </c>
      <c r="O64" s="84">
        <f>ROUND(IF($H64&gt;0,$H64,29.3)*($E64-$F64)/1000,0)</f>
        <v>0</v>
      </c>
      <c r="P64" s="298"/>
    </row>
    <row r="65" spans="1:18">
      <c r="A65" s="254"/>
      <c r="B65" s="50"/>
      <c r="C65" s="56" t="s">
        <v>90</v>
      </c>
      <c r="D65" s="57" t="s">
        <v>86</v>
      </c>
      <c r="E65" s="147"/>
      <c r="F65" s="148"/>
      <c r="G65" s="170">
        <f>ROUND(2.461*12.011/44.01,3)</f>
        <v>0.67200000000000004</v>
      </c>
      <c r="H65" s="172">
        <v>25.9</v>
      </c>
      <c r="I65" s="194">
        <f>ROUND(IF(G65&gt;0,44.01*G65/12.011,IF(H65&gt;0, H65,25.9)*0.095),3)</f>
        <v>2.4620000000000002</v>
      </c>
      <c r="J65" s="125"/>
      <c r="K65" s="86">
        <f t="shared" si="0"/>
        <v>0</v>
      </c>
      <c r="L65" s="87"/>
      <c r="M65" s="87"/>
      <c r="N65" s="88">
        <f t="shared" si="1"/>
        <v>0</v>
      </c>
      <c r="O65" s="89">
        <f>ROUND(IF($H65&gt;0,$H65,25.9)*($E65-$F65)/1000,0)</f>
        <v>0</v>
      </c>
      <c r="P65" s="298"/>
    </row>
    <row r="66" spans="1:18">
      <c r="A66" s="254"/>
      <c r="B66" s="53"/>
      <c r="C66" s="51" t="s">
        <v>91</v>
      </c>
      <c r="D66" s="52" t="s">
        <v>86</v>
      </c>
      <c r="E66" s="145"/>
      <c r="F66" s="146"/>
      <c r="G66" s="168">
        <f>ROUND(3.257*12.011/44.01,3)</f>
        <v>0.88900000000000001</v>
      </c>
      <c r="H66" s="171">
        <v>30.1</v>
      </c>
      <c r="I66" s="202">
        <f>ROUND(IF(G66&gt;0,44.01*G66/12.011,IF(H66&gt;0, H66,30.1)*0.1082),3)</f>
        <v>3.2570000000000001</v>
      </c>
      <c r="J66" s="123"/>
      <c r="K66" s="79">
        <f t="shared" si="0"/>
        <v>0</v>
      </c>
      <c r="L66" s="82"/>
      <c r="M66" s="82"/>
      <c r="N66" s="83">
        <f t="shared" si="1"/>
        <v>0</v>
      </c>
      <c r="O66" s="205">
        <f>ROUND(IF($H66&gt;0,$H66,30.1)*($E66-$F66)/1000,0)</f>
        <v>0</v>
      </c>
      <c r="P66" s="298"/>
    </row>
    <row r="67" spans="1:18">
      <c r="A67" s="254"/>
      <c r="B67" s="50"/>
      <c r="C67" s="54" t="s">
        <v>92</v>
      </c>
      <c r="D67" s="55" t="s">
        <v>86</v>
      </c>
      <c r="E67" s="145"/>
      <c r="F67" s="146"/>
      <c r="G67" s="169">
        <f>ROUND(2.955*12.011/44.01,3)</f>
        <v>0.80600000000000005</v>
      </c>
      <c r="H67" s="171">
        <v>31.1</v>
      </c>
      <c r="I67" s="120">
        <f>ROUND(IF(G67&gt;0,44.01*G67/12.011,IF(H67&gt;0, H67,31.1)*0.095),3)</f>
        <v>2.9529999999999998</v>
      </c>
      <c r="J67" s="124"/>
      <c r="K67" s="81">
        <f t="shared" si="0"/>
        <v>0</v>
      </c>
      <c r="L67" s="85"/>
      <c r="M67" s="85"/>
      <c r="N67" s="83">
        <f t="shared" si="1"/>
        <v>0</v>
      </c>
      <c r="O67" s="96">
        <f>ROUND(IF($H67&gt;0,$H67,31.1)*($E67-$F67)/1000,0)</f>
        <v>0</v>
      </c>
      <c r="P67" s="298"/>
    </row>
    <row r="68" spans="1:18">
      <c r="B68" s="53"/>
      <c r="C68" s="54" t="s">
        <v>93</v>
      </c>
      <c r="D68" s="55" t="s">
        <v>86</v>
      </c>
      <c r="E68" s="145"/>
      <c r="F68" s="149"/>
      <c r="G68" s="169">
        <f>ROUND(3.257*12.011/44.01,3)</f>
        <v>0.88900000000000001</v>
      </c>
      <c r="H68" s="171">
        <v>30.1</v>
      </c>
      <c r="I68" s="120">
        <f>ROUND(IF(G68&gt;0,44.01*G68/12.011,IF(H68&gt;0, H68,30.1)*0.1082),3)</f>
        <v>3.2570000000000001</v>
      </c>
      <c r="J68" s="279">
        <f>ROUND(4*0.0561,3)</f>
        <v>0.224</v>
      </c>
      <c r="K68" s="81">
        <f t="shared" si="0"/>
        <v>0</v>
      </c>
      <c r="L68" s="85"/>
      <c r="M68" s="85"/>
      <c r="N68" s="83">
        <f>ROUND(IF($J68&gt;0,$J68,0.224)*($E68-$F68),0)</f>
        <v>0</v>
      </c>
      <c r="O68" s="96">
        <f>ROUND(IF($H68&gt;0,$H68,30.1)*($E68-$F68)/1000,0)</f>
        <v>0</v>
      </c>
      <c r="P68" s="255"/>
    </row>
    <row r="69" spans="1:18">
      <c r="A69" s="254"/>
      <c r="B69" s="50"/>
      <c r="C69" s="54" t="s">
        <v>94</v>
      </c>
      <c r="D69" s="55" t="s">
        <v>86</v>
      </c>
      <c r="E69" s="145"/>
      <c r="F69" s="149"/>
      <c r="G69" s="126"/>
      <c r="H69" s="274">
        <v>18.8</v>
      </c>
      <c r="I69" s="128"/>
      <c r="J69" s="124"/>
      <c r="K69" s="81">
        <f t="shared" si="0"/>
        <v>0</v>
      </c>
      <c r="L69" s="85"/>
      <c r="M69" s="85"/>
      <c r="N69" s="83">
        <f>ROUND(IF($J69&gt;0,$J69,0)*($E69-$F69),0)</f>
        <v>0</v>
      </c>
      <c r="O69" s="96">
        <f>ROUND(IF($H69&gt;0,$H69,18.8)*($E69-$F69)/1000,0)</f>
        <v>0</v>
      </c>
      <c r="P69" s="298"/>
    </row>
    <row r="70" spans="1:18">
      <c r="A70" s="330" t="s">
        <v>205</v>
      </c>
      <c r="B70" s="50"/>
      <c r="C70" s="249" t="s">
        <v>192</v>
      </c>
      <c r="D70" s="184" t="s">
        <v>100</v>
      </c>
      <c r="E70" s="145"/>
      <c r="F70" s="185"/>
      <c r="G70" s="169">
        <v>0.85</v>
      </c>
      <c r="H70" s="275">
        <v>31.934999999999999</v>
      </c>
      <c r="I70" s="120">
        <f>ROUND(IF(G70&gt;0,44.01*G70/12.011,IF(H70&gt;0, H70,31.935)*0.098),3)</f>
        <v>3.1150000000000002</v>
      </c>
      <c r="J70" s="136"/>
      <c r="K70" s="81">
        <f t="shared" si="0"/>
        <v>0</v>
      </c>
      <c r="L70" s="93"/>
      <c r="M70" s="93"/>
      <c r="N70" s="83">
        <f>ROUND(IF($J70&gt;0,$J70,0)*($E70-$F70),0)</f>
        <v>0</v>
      </c>
      <c r="O70" s="96">
        <f>ROUND(IF($H70&gt;0,$H70,31.935)*($E70-$F70)/1000,0)</f>
        <v>0</v>
      </c>
      <c r="P70" s="298"/>
      <c r="Q70" s="272"/>
      <c r="R70" s="272"/>
    </row>
    <row r="71" spans="1:18">
      <c r="A71" s="330" t="s">
        <v>205</v>
      </c>
      <c r="B71" s="50"/>
      <c r="C71" s="249" t="s">
        <v>210</v>
      </c>
      <c r="D71" s="184" t="s">
        <v>100</v>
      </c>
      <c r="E71" s="145"/>
      <c r="F71" s="185"/>
      <c r="G71" s="195"/>
      <c r="H71" s="275">
        <v>46</v>
      </c>
      <c r="I71" s="194">
        <f>IF(H71&gt;0,ROUND(H71*0.052521739,3),ROUND(2.4158,3))</f>
        <v>2.4159999999999999</v>
      </c>
      <c r="J71" s="136"/>
      <c r="K71" s="81">
        <f t="shared" si="0"/>
        <v>0</v>
      </c>
      <c r="L71" s="93"/>
      <c r="M71" s="93"/>
      <c r="N71" s="83">
        <f>ROUND(IF($J71&gt;0,$J71,0)*($E71-$F71),0)</f>
        <v>0</v>
      </c>
      <c r="O71" s="96">
        <f>ROUND(IF($H71&gt;0,$H71,46)*($E71-$F71)/1000,0)</f>
        <v>0</v>
      </c>
      <c r="P71" s="306"/>
      <c r="Q71" s="272"/>
      <c r="R71" s="272"/>
    </row>
    <row r="72" spans="1:18">
      <c r="A72" s="330" t="s">
        <v>205</v>
      </c>
      <c r="B72" s="50"/>
      <c r="C72" s="249" t="s">
        <v>209</v>
      </c>
      <c r="D72" s="184" t="s">
        <v>100</v>
      </c>
      <c r="E72" s="145"/>
      <c r="F72" s="185"/>
      <c r="G72" s="195"/>
      <c r="H72" s="275">
        <v>35</v>
      </c>
      <c r="I72" s="194">
        <f>IF(H72&gt;0,ROUND(H72*0.062828571,3),ROUND(2.1985,3))</f>
        <v>2.1989999999999998</v>
      </c>
      <c r="J72" s="136"/>
      <c r="K72" s="81">
        <f t="shared" si="0"/>
        <v>0</v>
      </c>
      <c r="L72" s="93"/>
      <c r="M72" s="93"/>
      <c r="N72" s="83">
        <f>ROUND(IF($J72&gt;0,$J72,0)*($E72-$F72),0)</f>
        <v>0</v>
      </c>
      <c r="O72" s="96">
        <f>ROUND(IF($H72&gt;0,$H72,35)*($E72-$F72)/1000,0)</f>
        <v>0</v>
      </c>
      <c r="P72" s="298"/>
      <c r="Q72" s="272"/>
      <c r="R72" s="272"/>
    </row>
    <row r="73" spans="1:18">
      <c r="A73" s="330"/>
      <c r="B73" s="53"/>
      <c r="C73" s="56" t="s">
        <v>95</v>
      </c>
      <c r="D73" s="57" t="s">
        <v>96</v>
      </c>
      <c r="E73" s="147"/>
      <c r="F73" s="148"/>
      <c r="G73" s="129"/>
      <c r="H73" s="276">
        <v>37.700000000000003</v>
      </c>
      <c r="I73" s="280">
        <f>IF(H73&gt;0,ROUND(H73*0.0771,3),ROUND(37.7*0.0771,3))</f>
        <v>2.907</v>
      </c>
      <c r="J73" s="278">
        <f>ROUND(IF(J74&gt;0,J74,0.247)*I73/I74,3)</f>
        <v>0.27600000000000002</v>
      </c>
      <c r="K73" s="86">
        <f t="shared" si="0"/>
        <v>0</v>
      </c>
      <c r="L73" s="87"/>
      <c r="M73" s="87"/>
      <c r="N73" s="88">
        <f>ROUND(IF($J73&gt;0,$J73,0.276)*($E73-$F73),0)</f>
        <v>0</v>
      </c>
      <c r="O73" s="215">
        <f>ROUND(IF($H73&gt;0,$H73,37.7)*($E73-$F73)/1000,0)</f>
        <v>0</v>
      </c>
      <c r="P73" s="298"/>
    </row>
    <row r="74" spans="1:18">
      <c r="A74" s="330"/>
      <c r="B74" s="50"/>
      <c r="C74" s="51" t="s">
        <v>97</v>
      </c>
      <c r="D74" s="52" t="s">
        <v>96</v>
      </c>
      <c r="E74" s="145"/>
      <c r="F74" s="146"/>
      <c r="G74" s="132"/>
      <c r="H74" s="281">
        <v>35.1</v>
      </c>
      <c r="I74" s="122">
        <f>IF(H74&gt;0,ROUND(H74*0.0741,3),ROUND(35.1*0.0741,3))</f>
        <v>2.601</v>
      </c>
      <c r="J74" s="282">
        <f>ROUND(0.85*0.29,3)</f>
        <v>0.247</v>
      </c>
      <c r="K74" s="79">
        <f t="shared" si="0"/>
        <v>0</v>
      </c>
      <c r="L74" s="82"/>
      <c r="M74" s="82"/>
      <c r="N74" s="83">
        <f>ROUND(IF($J74&gt;0,$J74,0.247)*($E74-$F74),0)</f>
        <v>0</v>
      </c>
      <c r="O74" s="205">
        <f>ROUND(IF($H74&gt;0,$H74,35.1)*($E74-$F74)/1000,0)</f>
        <v>0</v>
      </c>
      <c r="P74" s="298"/>
    </row>
    <row r="75" spans="1:18">
      <c r="A75" s="330"/>
      <c r="B75" s="53"/>
      <c r="C75" s="54" t="s">
        <v>98</v>
      </c>
      <c r="D75" s="55" t="s">
        <v>96</v>
      </c>
      <c r="E75" s="145"/>
      <c r="F75" s="149"/>
      <c r="G75" s="126"/>
      <c r="H75" s="274">
        <v>34.700000000000003</v>
      </c>
      <c r="I75" s="120">
        <f>IF(H75&gt;0,ROUND(H75*0.0715,3),ROUND(34.7*0.0715,3))</f>
        <v>2.4809999999999999</v>
      </c>
      <c r="J75" s="279">
        <f>ROUND(0.85*0.29,3)</f>
        <v>0.247</v>
      </c>
      <c r="K75" s="81">
        <f t="shared" si="0"/>
        <v>0</v>
      </c>
      <c r="L75" s="85"/>
      <c r="M75" s="85"/>
      <c r="N75" s="83">
        <f>ROUND(IF($J75&gt;0,$J75,0.247)*($E75-$F75),0)</f>
        <v>0</v>
      </c>
      <c r="O75" s="96">
        <f>ROUND(IF($H75&gt;0,$H75,34.7)*($E75-$F75)/1000,0)</f>
        <v>0</v>
      </c>
      <c r="P75" s="298"/>
    </row>
    <row r="76" spans="1:18">
      <c r="A76" s="330"/>
      <c r="B76" s="50"/>
      <c r="C76" s="54" t="s">
        <v>99</v>
      </c>
      <c r="D76" s="55" t="s">
        <v>100</v>
      </c>
      <c r="E76" s="145"/>
      <c r="F76" s="149"/>
      <c r="G76" s="126"/>
      <c r="H76" s="274">
        <v>47.3</v>
      </c>
      <c r="I76" s="120">
        <f>IF(H76&gt;0,ROUND(H76*0.0631,3),ROUND(47.3*0.0631,0))</f>
        <v>2.9849999999999999</v>
      </c>
      <c r="J76" s="124"/>
      <c r="K76" s="81">
        <f t="shared" si="0"/>
        <v>0</v>
      </c>
      <c r="L76" s="85"/>
      <c r="M76" s="85"/>
      <c r="N76" s="83">
        <f>ROUND(IF($J76&gt;0,$J76,0)*($E76-$F76),0)</f>
        <v>0</v>
      </c>
      <c r="O76" s="96">
        <f>ROUND(IF($H76&gt;0,$H76,47.3)*($E76-$F76)/1000,0)</f>
        <v>0</v>
      </c>
      <c r="P76" s="298"/>
    </row>
    <row r="77" spans="1:18">
      <c r="A77" s="330"/>
      <c r="B77" s="53"/>
      <c r="C77" s="54" t="s">
        <v>101</v>
      </c>
      <c r="D77" s="55" t="s">
        <v>102</v>
      </c>
      <c r="E77" s="145"/>
      <c r="F77" s="149"/>
      <c r="G77" s="169">
        <f>ROUND(2.014*12.011/44.01,3)</f>
        <v>0.55000000000000004</v>
      </c>
      <c r="H77" s="173">
        <v>35.9</v>
      </c>
      <c r="I77" s="120">
        <f>ROUND(IF(G77&gt;0,44.01*G77/12.011,IF(H77&gt;0, H77,35.9)*0.0561),3)</f>
        <v>2.0150000000000001</v>
      </c>
      <c r="J77" s="279">
        <f>ROUND(I77*0.33,3)</f>
        <v>0.66500000000000004</v>
      </c>
      <c r="K77" s="81">
        <f t="shared" si="0"/>
        <v>0</v>
      </c>
      <c r="L77" s="85"/>
      <c r="M77" s="85"/>
      <c r="N77" s="83">
        <f>ROUND(IF($J77&gt;0,$J77,0.665)*($E77-$F77),0)</f>
        <v>0</v>
      </c>
      <c r="O77" s="96">
        <f>ROUND(IF($H77&gt;0,$H77,35.9)*($E77-$F77)/1000,0)</f>
        <v>0</v>
      </c>
      <c r="P77" s="298"/>
    </row>
    <row r="78" spans="1:18">
      <c r="A78" s="330"/>
      <c r="B78" s="50"/>
      <c r="C78" s="54" t="s">
        <v>103</v>
      </c>
      <c r="D78" s="55" t="s">
        <v>102</v>
      </c>
      <c r="E78" s="145"/>
      <c r="F78" s="149"/>
      <c r="G78" s="192">
        <f>ROUND(2.014*12.011/44.01,3)</f>
        <v>0.55000000000000004</v>
      </c>
      <c r="H78" s="193">
        <v>35.9</v>
      </c>
      <c r="I78" s="120">
        <f>ROUND(IF(G78&gt;0,44.01*G78/12.011,IF(H78&gt;0, H78,35.9)*0.0561),3)</f>
        <v>2.0150000000000001</v>
      </c>
      <c r="J78" s="283">
        <v>0</v>
      </c>
      <c r="K78" s="183">
        <f t="shared" si="0"/>
        <v>0</v>
      </c>
      <c r="L78" s="93"/>
      <c r="M78" s="93"/>
      <c r="N78" s="83">
        <f>ROUND(IF($J78&gt;0,$J78,0)*($E78-$F78),0)</f>
        <v>0</v>
      </c>
      <c r="O78" s="96">
        <f>ROUND(IF($H78&gt;0,$H78,35.9)*($E78-$F78)/1000,0)</f>
        <v>0</v>
      </c>
      <c r="P78" s="298"/>
    </row>
    <row r="79" spans="1:18">
      <c r="A79" s="330" t="s">
        <v>205</v>
      </c>
      <c r="B79" s="53"/>
      <c r="C79" s="60" t="s">
        <v>193</v>
      </c>
      <c r="D79" s="62" t="s">
        <v>100</v>
      </c>
      <c r="E79" s="145"/>
      <c r="F79" s="149"/>
      <c r="G79" s="126"/>
      <c r="H79" s="274">
        <v>120</v>
      </c>
      <c r="I79" s="128"/>
      <c r="J79" s="279">
        <v>0</v>
      </c>
      <c r="K79" s="183">
        <f t="shared" si="0"/>
        <v>0</v>
      </c>
      <c r="L79" s="85"/>
      <c r="M79" s="85"/>
      <c r="N79" s="83">
        <f>ROUND(IF($J79&gt;0,$J79,0)*($E79-$F79),0)</f>
        <v>0</v>
      </c>
      <c r="O79" s="96">
        <f>ROUND(IF($H79&gt;0,$H79,120)*($E79-$F79)/1000,0)</f>
        <v>0</v>
      </c>
      <c r="P79" s="298"/>
    </row>
    <row r="80" spans="1:18">
      <c r="A80" s="330" t="s">
        <v>205</v>
      </c>
      <c r="B80" s="53"/>
      <c r="C80" s="58" t="s">
        <v>194</v>
      </c>
      <c r="D80" s="62" t="s">
        <v>100</v>
      </c>
      <c r="E80" s="145"/>
      <c r="F80" s="149"/>
      <c r="G80" s="126"/>
      <c r="H80" s="274">
        <v>120</v>
      </c>
      <c r="I80" s="128"/>
      <c r="J80" s="279">
        <v>1.8</v>
      </c>
      <c r="K80" s="183">
        <f t="shared" si="0"/>
        <v>0</v>
      </c>
      <c r="L80" s="85"/>
      <c r="M80" s="85"/>
      <c r="N80" s="83">
        <f>ROUND(IF($J80&gt;0,$J80,1.8)*($E80-$F80),0)</f>
        <v>0</v>
      </c>
      <c r="O80" s="96">
        <f>ROUND(IF($H80&gt;0,$H80,120)*($E80-$F80)/1000,0)</f>
        <v>0</v>
      </c>
      <c r="P80" s="298"/>
    </row>
    <row r="81" spans="1:16">
      <c r="A81" s="330" t="s">
        <v>205</v>
      </c>
      <c r="B81" s="53"/>
      <c r="C81" s="58" t="s">
        <v>195</v>
      </c>
      <c r="D81" s="62" t="s">
        <v>100</v>
      </c>
      <c r="E81" s="145"/>
      <c r="F81" s="149"/>
      <c r="G81" s="126"/>
      <c r="H81" s="274">
        <v>120</v>
      </c>
      <c r="I81" s="128"/>
      <c r="J81" s="279">
        <v>19.8</v>
      </c>
      <c r="K81" s="183">
        <f t="shared" si="0"/>
        <v>0</v>
      </c>
      <c r="L81" s="85"/>
      <c r="M81" s="85"/>
      <c r="N81" s="83">
        <f>ROUND(IF($J81&gt;0,$J81,19.8)*($E81-$F81),0)</f>
        <v>0</v>
      </c>
      <c r="O81" s="96">
        <f>ROUND(IF($H81&gt;0,$H81,120)*($E81-$F81)/1000,0)</f>
        <v>0</v>
      </c>
      <c r="P81" s="298"/>
    </row>
    <row r="82" spans="1:16">
      <c r="A82" s="330" t="s">
        <v>205</v>
      </c>
      <c r="B82" s="53"/>
      <c r="C82" s="59" t="s">
        <v>204</v>
      </c>
      <c r="D82" s="61" t="s">
        <v>100</v>
      </c>
      <c r="E82" s="147"/>
      <c r="F82" s="148"/>
      <c r="G82" s="192">
        <v>0.751</v>
      </c>
      <c r="H82" s="276">
        <v>50.4</v>
      </c>
      <c r="I82" s="131"/>
      <c r="J82" s="278">
        <v>0</v>
      </c>
      <c r="K82" s="183">
        <f t="shared" si="0"/>
        <v>0</v>
      </c>
      <c r="L82" s="87"/>
      <c r="M82" s="87"/>
      <c r="N82" s="88">
        <f>ROUND(IF($J82&gt;0,$J82,0)*($E82-$F82),0)</f>
        <v>0</v>
      </c>
      <c r="O82" s="215">
        <f>ROUND(IF($H82&gt;0,$H82,50.4)*($E82-$F82)/1000,0)</f>
        <v>0</v>
      </c>
    </row>
    <row r="83" spans="1:16">
      <c r="A83" s="330"/>
      <c r="B83" s="53"/>
      <c r="C83" s="51" t="s">
        <v>104</v>
      </c>
      <c r="D83" s="52" t="s">
        <v>86</v>
      </c>
      <c r="E83" s="145"/>
      <c r="F83" s="146"/>
      <c r="G83" s="284">
        <f>ROUND(0.4404*12.011/44.01,3)</f>
        <v>0.12</v>
      </c>
      <c r="H83" s="273"/>
      <c r="I83" s="122">
        <f>ROUND(IF(G83&gt;0,44.01*G83/12.011,44.01*0.12/12.011),3)</f>
        <v>0.44</v>
      </c>
      <c r="J83" s="123"/>
      <c r="K83" s="79">
        <f t="shared" si="0"/>
        <v>0</v>
      </c>
      <c r="L83" s="82"/>
      <c r="M83" s="82"/>
      <c r="N83" s="204">
        <f>ROUND(IF($J83&gt;0,$J83,0)*($E83-$F83),0)</f>
        <v>0</v>
      </c>
      <c r="O83" s="205">
        <f>ROUND(IF($H83&gt;0,$H83,0)*($E83-$F83)/1000,0)</f>
        <v>0</v>
      </c>
    </row>
    <row r="84" spans="1:16">
      <c r="A84" s="330"/>
      <c r="B84" s="50"/>
      <c r="C84" s="58" t="s">
        <v>105</v>
      </c>
      <c r="D84" s="55" t="s">
        <v>100</v>
      </c>
      <c r="E84" s="145"/>
      <c r="F84" s="149"/>
      <c r="G84" s="126"/>
      <c r="H84" s="274">
        <v>4.5</v>
      </c>
      <c r="I84" s="128"/>
      <c r="J84" s="279">
        <v>0.95</v>
      </c>
      <c r="K84" s="81">
        <f t="shared" si="0"/>
        <v>0</v>
      </c>
      <c r="L84" s="85"/>
      <c r="M84" s="85"/>
      <c r="N84" s="296">
        <f>ROUND(IF($J84&gt;0,$J84,0.95)*($E84-$F84),0)</f>
        <v>0</v>
      </c>
      <c r="O84" s="96">
        <f>ROUND(IF($H84&gt;0,$H84,4.5)*($E84-$F84)/1000,0)</f>
        <v>0</v>
      </c>
    </row>
    <row r="85" spans="1:16">
      <c r="A85" s="330"/>
      <c r="B85" s="53"/>
      <c r="C85" s="58" t="s">
        <v>106</v>
      </c>
      <c r="D85" s="55" t="s">
        <v>86</v>
      </c>
      <c r="E85" s="145"/>
      <c r="F85" s="149"/>
      <c r="G85" s="169">
        <f>ROUND(0.4771*12.011/44.01,3)</f>
        <v>0.13</v>
      </c>
      <c r="H85" s="127"/>
      <c r="I85" s="120">
        <f>ROUND(IF(G85&gt;0,44.01*G85/12.011,44.01*0.13/12.011),3)</f>
        <v>0.47599999999999998</v>
      </c>
      <c r="J85" s="124"/>
      <c r="K85" s="81">
        <f t="shared" si="0"/>
        <v>0</v>
      </c>
      <c r="L85" s="85"/>
      <c r="M85" s="85"/>
      <c r="N85" s="92">
        <f>ROUND(IF($J85&gt;0,$J85,0)*($E85-$F85),0)</f>
        <v>0</v>
      </c>
      <c r="O85" s="96">
        <f>ROUND(IF($H85&gt;0,$H85,0)*($E85-$F85)/1000,0)</f>
        <v>0</v>
      </c>
    </row>
    <row r="86" spans="1:16">
      <c r="A86" s="330"/>
      <c r="B86" s="50"/>
      <c r="C86" s="58" t="s">
        <v>107</v>
      </c>
      <c r="D86" s="55" t="s">
        <v>100</v>
      </c>
      <c r="E86" s="145"/>
      <c r="F86" s="149"/>
      <c r="G86" s="126"/>
      <c r="H86" s="274">
        <v>4.5</v>
      </c>
      <c r="I86" s="128"/>
      <c r="J86" s="279">
        <v>1.1000000000000001</v>
      </c>
      <c r="K86" s="81">
        <f t="shared" si="0"/>
        <v>0</v>
      </c>
      <c r="L86" s="85"/>
      <c r="M86" s="85"/>
      <c r="N86" s="92">
        <f>ROUND(IF($J86&gt;0,$J86,1.1)*($E86-$F86),0)</f>
        <v>0</v>
      </c>
      <c r="O86" s="96">
        <f>ROUND(IF($H86&gt;0,$H86,4.5)*($E86-$F86)/1000,0)</f>
        <v>0</v>
      </c>
    </row>
    <row r="87" spans="1:16">
      <c r="A87" s="330"/>
      <c r="B87" s="53"/>
      <c r="C87" s="59" t="s">
        <v>108</v>
      </c>
      <c r="D87" s="57" t="s">
        <v>100</v>
      </c>
      <c r="E87" s="147"/>
      <c r="F87" s="148"/>
      <c r="G87" s="129"/>
      <c r="H87" s="276">
        <v>2.4500000000000002</v>
      </c>
      <c r="I87" s="131"/>
      <c r="J87" s="278">
        <v>0.26200000000000001</v>
      </c>
      <c r="K87" s="86">
        <f t="shared" si="0"/>
        <v>0</v>
      </c>
      <c r="L87" s="87"/>
      <c r="M87" s="87"/>
      <c r="N87" s="88">
        <f>ROUND(IF($J87&gt;0,$J87,0.262)*($E87-$F87),0)</f>
        <v>0</v>
      </c>
      <c r="O87" s="215">
        <f>ROUND(IF($H87&gt;0,$H87,2.45)*($E87-$F87)/1000,0)</f>
        <v>0</v>
      </c>
    </row>
    <row r="88" spans="1:16">
      <c r="A88" s="330"/>
      <c r="B88" s="50"/>
      <c r="C88" s="60" t="s">
        <v>109</v>
      </c>
      <c r="D88" s="52" t="s">
        <v>100</v>
      </c>
      <c r="E88" s="145"/>
      <c r="F88" s="146"/>
      <c r="G88" s="132"/>
      <c r="H88" s="281">
        <v>2.1</v>
      </c>
      <c r="I88" s="134"/>
      <c r="J88" s="282">
        <v>0.13700000000000001</v>
      </c>
      <c r="K88" s="90">
        <f>ROUND(I88*(E88-F88),0)</f>
        <v>0</v>
      </c>
      <c r="L88" s="82"/>
      <c r="M88" s="82"/>
      <c r="N88" s="293">
        <f>ROUND(IF($J88&gt;0,$J88,0.137)*($E88-$F88),0)</f>
        <v>0</v>
      </c>
      <c r="O88" s="205">
        <f>ROUND(IF($H88&gt;0,$H88,2.1)*($E88-$F88)/1000,0)</f>
        <v>0</v>
      </c>
    </row>
    <row r="89" spans="1:16">
      <c r="A89" s="330"/>
      <c r="B89" s="53"/>
      <c r="C89" s="58" t="s">
        <v>110</v>
      </c>
      <c r="D89" s="55" t="s">
        <v>100</v>
      </c>
      <c r="E89" s="145"/>
      <c r="F89" s="149"/>
      <c r="G89" s="126"/>
      <c r="H89" s="127"/>
      <c r="I89" s="285">
        <f>3.663</f>
        <v>3.6629999999999998</v>
      </c>
      <c r="J89" s="279">
        <v>0.65</v>
      </c>
      <c r="K89" s="81">
        <f>IF(E89&gt;0,IF(I89&gt;0,ROUND(I89*(E89-F89),0),IF((I23+I30)&gt;0,ROUND(0.005*I31,3),0)),IF((I23+I30)&gt;0,ROUND(0.005*I31,3),0))</f>
        <v>0</v>
      </c>
      <c r="L89" s="85"/>
      <c r="M89" s="85"/>
      <c r="N89" s="92">
        <f>ROUND(IF($J89&gt;0,$J89,0.65)*($E89-$F89),0)</f>
        <v>0</v>
      </c>
      <c r="O89" s="96">
        <f>ROUND(IF($H89&gt;0,$H89,0)*($E89-$F89)/1000,0)</f>
        <v>0</v>
      </c>
    </row>
    <row r="90" spans="1:16">
      <c r="A90" s="330" t="s">
        <v>205</v>
      </c>
      <c r="B90" s="53"/>
      <c r="C90" s="58" t="s">
        <v>200</v>
      </c>
      <c r="D90" s="55" t="s">
        <v>100</v>
      </c>
      <c r="E90" s="145"/>
      <c r="F90" s="149"/>
      <c r="G90" s="192">
        <v>4.7E-2</v>
      </c>
      <c r="H90" s="274">
        <v>20.9</v>
      </c>
      <c r="I90" s="120">
        <f>IF(G90&gt;0,ROUND(44.01*G90/12.011,3),IF(H90&gt;0,ROUND(H90*0.008229665,3),ROUND(44.01*0.047/12.011,3)))</f>
        <v>0.17199999999999999</v>
      </c>
      <c r="J90" s="279">
        <v>1.855</v>
      </c>
      <c r="K90" s="81">
        <f t="shared" ref="K90:K113" si="2">ROUND($I90*($E90-$F90),0)</f>
        <v>0</v>
      </c>
      <c r="L90" s="85"/>
      <c r="M90" s="85"/>
      <c r="N90" s="92">
        <f>ROUND(IF($J90&gt;0,$J90,1.855)*($E90-$F90),0)</f>
        <v>0</v>
      </c>
      <c r="O90" s="96">
        <f>ROUND(IF($H90&gt;0,$H90,20.9)*($E90-$F90)/1000,0)</f>
        <v>0</v>
      </c>
    </row>
    <row r="91" spans="1:16">
      <c r="A91" s="330"/>
      <c r="B91" s="50"/>
      <c r="C91" s="58" t="s">
        <v>111</v>
      </c>
      <c r="D91" s="55" t="s">
        <v>100</v>
      </c>
      <c r="E91" s="145"/>
      <c r="F91" s="149"/>
      <c r="G91" s="192">
        <v>4.7E-2</v>
      </c>
      <c r="H91" s="274">
        <v>20.9</v>
      </c>
      <c r="I91" s="120">
        <f>IF(G91&gt;0,ROUND(44.01*G91/12.011,3),IF(H91&gt;0,ROUND(H91*0.008229665,3),ROUND(44.01*0.047/12.011,3)))</f>
        <v>0.17199999999999999</v>
      </c>
      <c r="J91" s="279">
        <v>1.855</v>
      </c>
      <c r="K91" s="81">
        <f t="shared" si="2"/>
        <v>0</v>
      </c>
      <c r="L91" s="85"/>
      <c r="M91" s="85"/>
      <c r="N91" s="92">
        <f>ROUND(IF($J91&gt;0,$J91,1.855)*($E91-$F91),0)</f>
        <v>0</v>
      </c>
      <c r="O91" s="96">
        <f>ROUND(IF($H91&gt;0,$H91,20.9)*($E91-$F91)/1000,0)</f>
        <v>0</v>
      </c>
    </row>
    <row r="92" spans="1:16">
      <c r="A92" s="330"/>
      <c r="B92" s="53"/>
      <c r="C92" s="58" t="s">
        <v>112</v>
      </c>
      <c r="D92" s="55" t="s">
        <v>100</v>
      </c>
      <c r="E92" s="145"/>
      <c r="F92" s="149"/>
      <c r="G92" s="192">
        <v>4.7E-2</v>
      </c>
      <c r="H92" s="274">
        <v>20.9</v>
      </c>
      <c r="I92" s="120">
        <f>IF(G92&gt;0,ROUND(44.01*G92/12.011,3),IF(H92&gt;0,ROUND(H92*0.008229665,3),ROUND(44.01*0.047/12.011,3)))</f>
        <v>0.17199999999999999</v>
      </c>
      <c r="J92" s="279">
        <v>1.855</v>
      </c>
      <c r="K92" s="81">
        <f t="shared" si="2"/>
        <v>0</v>
      </c>
      <c r="L92" s="85"/>
      <c r="M92" s="85"/>
      <c r="N92" s="92">
        <f>ROUND(IF($J92&gt;0,$J92,1.855)*($E92-$F92),0)</f>
        <v>0</v>
      </c>
      <c r="O92" s="96">
        <f>ROUND(IF($H92&gt;0,$H92,20.9)*($E92-$F92)/1000,0)</f>
        <v>0</v>
      </c>
    </row>
    <row r="93" spans="1:16">
      <c r="A93" s="330"/>
      <c r="B93" s="50"/>
      <c r="C93" s="63" t="s">
        <v>113</v>
      </c>
      <c r="D93" s="179" t="s">
        <v>100</v>
      </c>
      <c r="E93" s="166"/>
      <c r="F93" s="167"/>
      <c r="G93" s="192">
        <v>5.0000000000000001E-3</v>
      </c>
      <c r="H93" s="181"/>
      <c r="I93" s="194">
        <f>ROUND(IF(G93&gt;0,44.01*G93/12.011,44.01*0.005/12.011),3)</f>
        <v>1.7999999999999999E-2</v>
      </c>
      <c r="J93" s="283">
        <v>5.2</v>
      </c>
      <c r="K93" s="183">
        <f t="shared" si="2"/>
        <v>0</v>
      </c>
      <c r="L93" s="93"/>
      <c r="M93" s="93"/>
      <c r="N93" s="92">
        <f>ROUND(IF($J93&gt;0,$J93,5.2)*($E93-$F93),0)</f>
        <v>0</v>
      </c>
      <c r="O93" s="96">
        <f>ROUND(IF($H93&gt;0,$H93,0)*($E93-$F93)/1000,0)</f>
        <v>0</v>
      </c>
    </row>
    <row r="94" spans="1:16">
      <c r="A94" s="330" t="s">
        <v>205</v>
      </c>
      <c r="B94" s="50"/>
      <c r="C94" s="63" t="s">
        <v>196</v>
      </c>
      <c r="D94" s="179" t="s">
        <v>100</v>
      </c>
      <c r="E94" s="145"/>
      <c r="F94" s="149"/>
      <c r="G94" s="192">
        <v>4.7E-2</v>
      </c>
      <c r="H94" s="193">
        <v>20.9</v>
      </c>
      <c r="I94" s="120">
        <f>IF(G94&gt;0,ROUND(44.01*G94/12.011,3),IF(H94&gt;0,ROUND(H94*0.008229665,3),ROUND(44.01*0.047/12.011,3)))</f>
        <v>0.17199999999999999</v>
      </c>
      <c r="J94" s="279">
        <v>1.855</v>
      </c>
      <c r="K94" s="183">
        <f t="shared" si="2"/>
        <v>0</v>
      </c>
      <c r="L94" s="93"/>
      <c r="M94" s="93"/>
      <c r="N94" s="92">
        <f>ROUND(IF($J94&gt;0,$J94,1.855)*($E94-$F94),0)</f>
        <v>0</v>
      </c>
      <c r="O94" s="96">
        <f>ROUND(IF($H94&gt;0,$H94,20.9)*($E94-$F94)/1000,0)</f>
        <v>0</v>
      </c>
    </row>
    <row r="95" spans="1:16">
      <c r="A95" s="330" t="s">
        <v>205</v>
      </c>
      <c r="B95" s="50"/>
      <c r="C95" s="59" t="s">
        <v>197</v>
      </c>
      <c r="D95" s="61" t="s">
        <v>100</v>
      </c>
      <c r="E95" s="147"/>
      <c r="F95" s="148"/>
      <c r="G95" s="170">
        <v>0.47599999999999998</v>
      </c>
      <c r="H95" s="172">
        <v>15.6</v>
      </c>
      <c r="I95" s="131"/>
      <c r="J95" s="278">
        <v>0</v>
      </c>
      <c r="K95" s="183">
        <f t="shared" si="2"/>
        <v>0</v>
      </c>
      <c r="L95" s="93"/>
      <c r="M95" s="93"/>
      <c r="N95" s="88">
        <f>ROUND(IF($J95&gt;0,$J95,0)*($E95-$F95),0)</f>
        <v>0</v>
      </c>
      <c r="O95" s="215">
        <f>ROUND(IF($H95&gt;0,$H95,15.6)*($E95-$F95)/1000,0)</f>
        <v>0</v>
      </c>
    </row>
    <row r="96" spans="1:16">
      <c r="A96" s="330"/>
      <c r="B96" s="53"/>
      <c r="C96" s="176" t="s">
        <v>114</v>
      </c>
      <c r="D96" s="177" t="s">
        <v>100</v>
      </c>
      <c r="E96" s="145"/>
      <c r="F96" s="146"/>
      <c r="G96" s="200">
        <v>0.02</v>
      </c>
      <c r="H96" s="286">
        <v>14.1</v>
      </c>
      <c r="I96" s="202">
        <f>ROUND(IF(G96&gt;0,44.01*G96/12.011,44.01*0.02/12.011),3)</f>
        <v>7.2999999999999995E-2</v>
      </c>
      <c r="J96" s="287">
        <v>0.78</v>
      </c>
      <c r="K96" s="79">
        <f t="shared" si="2"/>
        <v>0</v>
      </c>
      <c r="L96" s="203"/>
      <c r="M96" s="203"/>
      <c r="N96" s="83">
        <f>ROUND(IF($J96&gt;0,$J96,0.78)*($E96-$F96),0)</f>
        <v>0</v>
      </c>
      <c r="O96" s="205">
        <f>ROUND(IF($H96&gt;0,$H96,14.1)*($E96-$F96)/1000,0)</f>
        <v>0</v>
      </c>
    </row>
    <row r="97" spans="1:15">
      <c r="A97" s="330"/>
      <c r="B97" s="50"/>
      <c r="C97" s="58" t="s">
        <v>115</v>
      </c>
      <c r="D97" s="55" t="s">
        <v>100</v>
      </c>
      <c r="E97" s="151"/>
      <c r="F97" s="149"/>
      <c r="G97" s="169">
        <v>0.02</v>
      </c>
      <c r="H97" s="274">
        <v>17.899999999999999</v>
      </c>
      <c r="I97" s="120">
        <f>ROUND(IF(G97&gt;0,44.01*G97/12.011,44.01*0.02/12.011),3)</f>
        <v>7.2999999999999995E-2</v>
      </c>
      <c r="J97" s="279">
        <v>1.21</v>
      </c>
      <c r="K97" s="81">
        <f t="shared" si="2"/>
        <v>0</v>
      </c>
      <c r="L97" s="85"/>
      <c r="M97" s="85"/>
      <c r="N97" s="92">
        <f>ROUND(IF($J97&gt;0,$J97,1.21)*($E97-$F97),0)</f>
        <v>0</v>
      </c>
      <c r="O97" s="96">
        <f>ROUND(IF($H97&gt;0,$H97,17.9)*($E97-$F97)/1000,0)</f>
        <v>0</v>
      </c>
    </row>
    <row r="98" spans="1:15">
      <c r="A98" s="330" t="s">
        <v>205</v>
      </c>
      <c r="B98" s="50"/>
      <c r="C98" s="60" t="s">
        <v>184</v>
      </c>
      <c r="D98" s="225" t="s">
        <v>100</v>
      </c>
      <c r="E98" s="145"/>
      <c r="F98" s="146"/>
      <c r="G98" s="169">
        <v>0.02</v>
      </c>
      <c r="H98" s="281">
        <v>14.1</v>
      </c>
      <c r="I98" s="120">
        <f>ROUND(IF(G98&gt;0,44.01*G98/12.011,44.01*0.02/12.011),3)</f>
        <v>7.2999999999999995E-2</v>
      </c>
      <c r="J98" s="282">
        <v>0.78</v>
      </c>
      <c r="K98" s="81">
        <f t="shared" si="2"/>
        <v>0</v>
      </c>
      <c r="L98" s="82"/>
      <c r="M98" s="82"/>
      <c r="N98" s="92">
        <f>ROUND(IF($J98&gt;0,$J98,0.78)*($E98-$F98),0)</f>
        <v>0</v>
      </c>
      <c r="O98" s="96">
        <f>ROUND(IF($H98&gt;0,$H98,14.1)*($E98-$F98)/1000,0)</f>
        <v>0</v>
      </c>
    </row>
    <row r="99" spans="1:15">
      <c r="A99" s="330"/>
      <c r="B99" s="53"/>
      <c r="C99" s="60" t="s">
        <v>116</v>
      </c>
      <c r="D99" s="52" t="s">
        <v>100</v>
      </c>
      <c r="E99" s="145"/>
      <c r="F99" s="146"/>
      <c r="G99" s="169">
        <v>0.01</v>
      </c>
      <c r="H99" s="133"/>
      <c r="I99" s="120">
        <f>ROUND(IF(G99&gt;0,44.01*G99/12.011,44.01*0.01/12.011),3)</f>
        <v>3.6999999999999998E-2</v>
      </c>
      <c r="J99" s="282">
        <v>8.6761599999999994</v>
      </c>
      <c r="K99" s="81">
        <f t="shared" si="2"/>
        <v>0</v>
      </c>
      <c r="L99" s="82"/>
      <c r="M99" s="82"/>
      <c r="N99" s="92">
        <f>ROUND(IF($J99&gt;0,$J99,8.676)*($E99-$F99),0)</f>
        <v>0</v>
      </c>
      <c r="O99" s="96">
        <f t="shared" ref="O99:O108" si="3">ROUND(IF($H99&gt;0,$H99,0)*($E99-$F99)/1000,0)</f>
        <v>0</v>
      </c>
    </row>
    <row r="100" spans="1:15">
      <c r="A100" s="330"/>
      <c r="B100" s="50"/>
      <c r="C100" s="58" t="s">
        <v>117</v>
      </c>
      <c r="D100" s="62" t="s">
        <v>100</v>
      </c>
      <c r="E100" s="166"/>
      <c r="F100" s="167"/>
      <c r="G100" s="169">
        <v>1E-3</v>
      </c>
      <c r="H100" s="127"/>
      <c r="I100" s="120">
        <f>ROUND(IF(G100&gt;0,44.01*G100/12.011,44.01*0.001/12.011),3)</f>
        <v>4.0000000000000001E-3</v>
      </c>
      <c r="J100" s="279">
        <f>ROUND(26337*0.77/1000,3)</f>
        <v>20.279</v>
      </c>
      <c r="K100" s="81">
        <f t="shared" si="2"/>
        <v>0</v>
      </c>
      <c r="L100" s="85"/>
      <c r="M100" s="85"/>
      <c r="N100" s="92">
        <f>ROUND(IF($J100&gt;0,$J100,20.279)*($E100-$F100),0)</f>
        <v>0</v>
      </c>
      <c r="O100" s="96">
        <f t="shared" si="3"/>
        <v>0</v>
      </c>
    </row>
    <row r="101" spans="1:15">
      <c r="A101" s="330"/>
      <c r="B101" s="53"/>
      <c r="C101" s="59" t="s">
        <v>118</v>
      </c>
      <c r="D101" s="61" t="s">
        <v>100</v>
      </c>
      <c r="E101" s="164"/>
      <c r="F101" s="165"/>
      <c r="G101" s="170">
        <v>1E-3</v>
      </c>
      <c r="H101" s="130"/>
      <c r="I101" s="280">
        <f>ROUND(IF(G101&gt;0,44.01*G101/12.011,44.01*0.001/12.011),3)</f>
        <v>4.0000000000000001E-3</v>
      </c>
      <c r="J101" s="278">
        <f>ROUND(13675*0.993/1000,3)</f>
        <v>13.579000000000001</v>
      </c>
      <c r="K101" s="86">
        <f t="shared" si="2"/>
        <v>0</v>
      </c>
      <c r="L101" s="87"/>
      <c r="M101" s="87"/>
      <c r="N101" s="88">
        <f>ROUND(IF($J101&gt;0,$J101,13.579)*($E101-$F101),0)</f>
        <v>0</v>
      </c>
      <c r="O101" s="215">
        <f t="shared" si="3"/>
        <v>0</v>
      </c>
    </row>
    <row r="102" spans="1:15">
      <c r="A102" s="330"/>
      <c r="B102" s="50"/>
      <c r="C102" s="60" t="s">
        <v>119</v>
      </c>
      <c r="D102" s="52" t="s">
        <v>100</v>
      </c>
      <c r="E102" s="145"/>
      <c r="F102" s="146"/>
      <c r="G102" s="168">
        <v>7.4999999999999997E-2</v>
      </c>
      <c r="H102" s="133"/>
      <c r="I102" s="122">
        <f>ROUND(IF(G102&gt;0,44.01*G102/12.011,44.01*0.075/12.011),3)</f>
        <v>0.27500000000000002</v>
      </c>
      <c r="J102" s="287">
        <f>ROUND(10596.9*0.565/1000,3)</f>
        <v>5.9870000000000001</v>
      </c>
      <c r="K102" s="81">
        <f t="shared" si="2"/>
        <v>0</v>
      </c>
      <c r="L102" s="85"/>
      <c r="M102" s="85"/>
      <c r="N102" s="83">
        <f>ROUND(IF($J102&gt;0,$J102,5.987)*($E102-$F102),0)</f>
        <v>0</v>
      </c>
      <c r="O102" s="205">
        <f t="shared" si="3"/>
        <v>0</v>
      </c>
    </row>
    <row r="103" spans="1:15">
      <c r="A103" s="330"/>
      <c r="B103" s="53"/>
      <c r="C103" s="63" t="s">
        <v>120</v>
      </c>
      <c r="D103" s="62" t="s">
        <v>100</v>
      </c>
      <c r="E103" s="166"/>
      <c r="F103" s="167"/>
      <c r="G103" s="169">
        <v>1E-3</v>
      </c>
      <c r="H103" s="127"/>
      <c r="I103" s="120">
        <f>ROUND(IF(G103&gt;0,44.01*G103/12.011,44.01*0.001/12.011),3)</f>
        <v>4.0000000000000001E-3</v>
      </c>
      <c r="J103" s="283">
        <v>6.5</v>
      </c>
      <c r="K103" s="81">
        <f t="shared" si="2"/>
        <v>0</v>
      </c>
      <c r="L103" s="82"/>
      <c r="M103" s="82"/>
      <c r="N103" s="92">
        <f>ROUND(IF($J103&gt;0,$J103,6.5)*($E103-$F103),0)</f>
        <v>0</v>
      </c>
      <c r="O103" s="96">
        <f t="shared" si="3"/>
        <v>0</v>
      </c>
    </row>
    <row r="104" spans="1:15">
      <c r="A104" s="330"/>
      <c r="B104" s="50"/>
      <c r="C104" s="58" t="s">
        <v>189</v>
      </c>
      <c r="D104" s="55" t="s">
        <v>100</v>
      </c>
      <c r="E104" s="145"/>
      <c r="F104" s="149"/>
      <c r="G104" s="169">
        <v>5.0000000000000001E-3</v>
      </c>
      <c r="H104" s="127"/>
      <c r="I104" s="120">
        <f>ROUND(IF(G104&gt;0,44.01*G104/12.011,44.01*0.005/12.011),3)</f>
        <v>1.7999999999999999E-2</v>
      </c>
      <c r="J104" s="279">
        <v>8.5</v>
      </c>
      <c r="K104" s="81">
        <f t="shared" si="2"/>
        <v>0</v>
      </c>
      <c r="L104" s="82"/>
      <c r="M104" s="82"/>
      <c r="N104" s="92">
        <f>ROUND(IF($J104&gt;0,$J104,8.5)*($E104-$F104),0)</f>
        <v>0</v>
      </c>
      <c r="O104" s="96">
        <f t="shared" si="3"/>
        <v>0</v>
      </c>
    </row>
    <row r="105" spans="1:15">
      <c r="A105" s="330"/>
      <c r="B105" s="53"/>
      <c r="C105" s="58" t="s">
        <v>121</v>
      </c>
      <c r="D105" s="55" t="s">
        <v>100</v>
      </c>
      <c r="E105" s="145"/>
      <c r="F105" s="149"/>
      <c r="G105" s="169">
        <v>0.05</v>
      </c>
      <c r="H105" s="137"/>
      <c r="I105" s="120">
        <f>ROUND(IF(G105&gt;0,44.01*G105/12.011,44.01*0.05/12.011),3)</f>
        <v>0.183</v>
      </c>
      <c r="J105" s="279">
        <v>2.7888000000000002</v>
      </c>
      <c r="K105" s="81">
        <f t="shared" si="2"/>
        <v>0</v>
      </c>
      <c r="L105" s="82"/>
      <c r="M105" s="82"/>
      <c r="N105" s="92">
        <f>ROUND(IF($J105&gt;0,$J105,2.789)*($E105-$F105),0)</f>
        <v>0</v>
      </c>
      <c r="O105" s="96">
        <f t="shared" si="3"/>
        <v>0</v>
      </c>
    </row>
    <row r="106" spans="1:15">
      <c r="A106" s="330" t="s">
        <v>205</v>
      </c>
      <c r="B106" s="53"/>
      <c r="C106" s="58" t="s">
        <v>187</v>
      </c>
      <c r="D106" s="55" t="s">
        <v>100</v>
      </c>
      <c r="E106" s="145"/>
      <c r="F106" s="149"/>
      <c r="G106" s="169">
        <v>1E-3</v>
      </c>
      <c r="H106" s="137"/>
      <c r="I106" s="120">
        <f>ROUND(IF(G106&gt;0,44.01*G106/12.011,44.01*0.001/12.011),3)</f>
        <v>4.0000000000000001E-3</v>
      </c>
      <c r="J106" s="279">
        <v>4</v>
      </c>
      <c r="K106" s="81">
        <f t="shared" si="2"/>
        <v>0</v>
      </c>
      <c r="L106" s="82"/>
      <c r="M106" s="82"/>
      <c r="N106" s="92">
        <f>ROUND(IF($J106&gt;0,$J106,4)*($E106-$F106),0)</f>
        <v>0</v>
      </c>
      <c r="O106" s="96">
        <f t="shared" si="3"/>
        <v>0</v>
      </c>
    </row>
    <row r="107" spans="1:15">
      <c r="A107" s="330" t="s">
        <v>205</v>
      </c>
      <c r="B107" s="53"/>
      <c r="C107" s="58" t="s">
        <v>188</v>
      </c>
      <c r="D107" s="55" t="s">
        <v>100</v>
      </c>
      <c r="E107" s="145"/>
      <c r="F107" s="149"/>
      <c r="G107" s="169">
        <v>5.0000000000000001E-3</v>
      </c>
      <c r="H107" s="137"/>
      <c r="I107" s="120">
        <f>ROUND(IF(G107&gt;0,44.01*G107/12.011,44.01*0.005/12.011),3)</f>
        <v>1.7999999999999999E-2</v>
      </c>
      <c r="J107" s="279">
        <v>1.4</v>
      </c>
      <c r="K107" s="81">
        <f t="shared" si="2"/>
        <v>0</v>
      </c>
      <c r="L107" s="82"/>
      <c r="M107" s="82"/>
      <c r="N107" s="92">
        <f>ROUND(IF($J107&gt;0,$J107,1.4)*($E107-$F107),0)</f>
        <v>0</v>
      </c>
      <c r="O107" s="96">
        <f t="shared" si="3"/>
        <v>0</v>
      </c>
    </row>
    <row r="108" spans="1:15">
      <c r="A108" s="330" t="s">
        <v>205</v>
      </c>
      <c r="B108" s="53"/>
      <c r="C108" s="58" t="s">
        <v>208</v>
      </c>
      <c r="D108" s="55" t="s">
        <v>100</v>
      </c>
      <c r="E108" s="151"/>
      <c r="F108" s="149"/>
      <c r="G108" s="169">
        <v>1E-3</v>
      </c>
      <c r="H108" s="181"/>
      <c r="I108" s="120">
        <f>ROUND(IF(G108&gt;0,44.01*G108/12.011,44.01*0.001/12.011),3)</f>
        <v>4.0000000000000001E-3</v>
      </c>
      <c r="J108" s="283">
        <v>5</v>
      </c>
      <c r="K108" s="81">
        <f t="shared" si="2"/>
        <v>0</v>
      </c>
      <c r="L108" s="158"/>
      <c r="M108" s="158"/>
      <c r="N108" s="92">
        <f>ROUND(IF($J108&gt;0,$J108,5)*($E108-$F108),0)</f>
        <v>0</v>
      </c>
      <c r="O108" s="96">
        <f t="shared" si="3"/>
        <v>0</v>
      </c>
    </row>
    <row r="109" spans="1:15">
      <c r="A109" s="330"/>
      <c r="B109" s="50"/>
      <c r="C109" s="64" t="s">
        <v>122</v>
      </c>
      <c r="D109" s="65" t="s">
        <v>123</v>
      </c>
      <c r="E109" s="152"/>
      <c r="F109" s="153"/>
      <c r="G109" s="138"/>
      <c r="H109" s="172">
        <v>9.8000000000000007</v>
      </c>
      <c r="I109" s="139"/>
      <c r="J109" s="217">
        <v>0.504</v>
      </c>
      <c r="K109" s="81">
        <f t="shared" si="2"/>
        <v>0</v>
      </c>
      <c r="L109" s="87"/>
      <c r="M109" s="87">
        <f>ROUND(IF($J109&gt;0,$J109,0.504)*($E109-$F109),0)</f>
        <v>0</v>
      </c>
      <c r="N109" s="88"/>
      <c r="O109" s="215">
        <f>ROUND(IF($H109&gt;0,$H109,9.8)*($E109-$F109)/1000,0)</f>
        <v>0</v>
      </c>
    </row>
    <row r="110" spans="1:15">
      <c r="A110" s="330"/>
      <c r="B110" s="53"/>
      <c r="C110" s="51" t="s">
        <v>124</v>
      </c>
      <c r="D110" s="52" t="s">
        <v>100</v>
      </c>
      <c r="E110" s="145"/>
      <c r="F110" s="146"/>
      <c r="G110" s="132"/>
      <c r="H110" s="281">
        <v>3.8</v>
      </c>
      <c r="I110" s="140"/>
      <c r="J110" s="135">
        <f>ROUND(IF(H110&gt;0,H110,3.8)*0.0514,3)</f>
        <v>0.19500000000000001</v>
      </c>
      <c r="K110" s="79">
        <f t="shared" si="2"/>
        <v>0</v>
      </c>
      <c r="L110" s="158"/>
      <c r="M110" s="158">
        <f>ROUND(IF(J110&gt;0,J110,0.195)*(E110-F110),0)</f>
        <v>0</v>
      </c>
      <c r="N110" s="83"/>
      <c r="O110" s="205">
        <f>ROUND(IF($H110&gt;0,$H110,3.8)*($E110-$F110)/1000,0)</f>
        <v>0</v>
      </c>
    </row>
    <row r="111" spans="1:15">
      <c r="A111" s="330"/>
      <c r="B111" s="50"/>
      <c r="C111" s="54" t="s">
        <v>125</v>
      </c>
      <c r="D111" s="55" t="s">
        <v>102</v>
      </c>
      <c r="E111" s="145"/>
      <c r="F111" s="149"/>
      <c r="G111" s="126"/>
      <c r="H111" s="274">
        <v>6.9</v>
      </c>
      <c r="I111" s="141"/>
      <c r="J111" s="135">
        <f>ROUND(IF(H111&gt;0,H111,6.9)*0.0514,3)</f>
        <v>0.35499999999999998</v>
      </c>
      <c r="K111" s="81">
        <f t="shared" si="2"/>
        <v>0</v>
      </c>
      <c r="L111" s="95"/>
      <c r="M111" s="95"/>
      <c r="N111" s="92">
        <f>ROUND(IF($J111&gt;0,$J111,0.355)*($E111-$F111),0)</f>
        <v>0</v>
      </c>
      <c r="O111" s="96">
        <f>ROUND(IF($H111&gt;0,$H111,6.9)*($E111-$F111)/1000,0)</f>
        <v>0</v>
      </c>
    </row>
    <row r="112" spans="1:15">
      <c r="A112" s="330"/>
      <c r="B112" s="53"/>
      <c r="C112" s="54" t="s">
        <v>126</v>
      </c>
      <c r="D112" s="55" t="s">
        <v>102</v>
      </c>
      <c r="E112" s="145"/>
      <c r="F112" s="149"/>
      <c r="G112" s="126"/>
      <c r="H112" s="274">
        <v>2</v>
      </c>
      <c r="I112" s="128"/>
      <c r="J112" s="135">
        <f>ROUND(IF(H112&gt;0,H112,2)*0.0514,3)</f>
        <v>0.10299999999999999</v>
      </c>
      <c r="K112" s="81">
        <f t="shared" si="2"/>
        <v>0</v>
      </c>
      <c r="L112" s="85"/>
      <c r="M112" s="85"/>
      <c r="N112" s="92">
        <f>ROUND(IF($J112&gt;0,$J112,0.103)*($E112-$F112),0)</f>
        <v>0</v>
      </c>
      <c r="O112" s="96">
        <f>ROUND(IF($H112&gt;0,$H112,2)*($E112-$F112)/1000,0)</f>
        <v>0</v>
      </c>
    </row>
    <row r="113" spans="1:18">
      <c r="A113" s="330"/>
      <c r="B113" s="50"/>
      <c r="C113" s="56" t="s">
        <v>127</v>
      </c>
      <c r="D113" s="184" t="s">
        <v>102</v>
      </c>
      <c r="E113" s="189"/>
      <c r="F113" s="185"/>
      <c r="G113" s="195"/>
      <c r="H113" s="275">
        <v>2</v>
      </c>
      <c r="I113" s="182"/>
      <c r="J113" s="135">
        <f>ROUND(IF(H113&gt;0,H113,2)*0.0514,3)</f>
        <v>0.10299999999999999</v>
      </c>
      <c r="K113" s="183">
        <f t="shared" si="2"/>
        <v>0</v>
      </c>
      <c r="L113" s="93"/>
      <c r="M113" s="93"/>
      <c r="N113" s="92">
        <f>ROUND(IF($J113&gt;0,$J113,0.103)*($E113-$F113),0)</f>
        <v>0</v>
      </c>
      <c r="O113" s="215">
        <f>ROUND(IF($H113&gt;0,$H113,2)*($E113-$F113)/1000,0)</f>
        <v>0</v>
      </c>
    </row>
    <row r="114" spans="1:18">
      <c r="A114" s="330"/>
      <c r="B114" s="53"/>
      <c r="C114" s="196" t="s">
        <v>181</v>
      </c>
      <c r="D114" s="197" t="s">
        <v>102</v>
      </c>
      <c r="E114" s="198"/>
      <c r="F114" s="199"/>
      <c r="G114" s="200">
        <f>ROUND(0.836*12.011/44.01,3)</f>
        <v>0.22800000000000001</v>
      </c>
      <c r="H114" s="201">
        <v>19</v>
      </c>
      <c r="I114" s="227">
        <f>ROUND(IF(G114&gt;0,44.01*G114/12.011,IF(H114&gt;0, H114,19)*0.044),3)</f>
        <v>0.83499999999999996</v>
      </c>
      <c r="J114" s="230">
        <f>ROUND(IF(H114&gt;0,H114,19)*IF(J109&gt;0,J109,0.504)/IF(H109&gt;0,H109,9.8),3)</f>
        <v>0.97699999999999998</v>
      </c>
      <c r="K114" s="226">
        <f t="shared" ref="K114:K123" si="4">ROUND(($E114-$F114)*$I114,0)</f>
        <v>0</v>
      </c>
      <c r="L114" s="203">
        <f>ROUND(($E114-$F114)*(-$I114),0)</f>
        <v>0</v>
      </c>
      <c r="M114" s="297">
        <f>ROUND(IF(J114&gt;0,J114,0.977)*(E114-F114),0)</f>
        <v>0</v>
      </c>
      <c r="N114" s="204"/>
      <c r="O114" s="205">
        <f>ROUND(IF($H114&gt;0,$H114,19)*($E114-$F114)/1000,0)</f>
        <v>0</v>
      </c>
    </row>
    <row r="115" spans="1:18">
      <c r="A115" s="330"/>
      <c r="B115" s="50"/>
      <c r="C115" s="60" t="s">
        <v>128</v>
      </c>
      <c r="D115" s="52" t="s">
        <v>102</v>
      </c>
      <c r="E115" s="145"/>
      <c r="F115" s="146"/>
      <c r="G115" s="168">
        <f>ROUND(0.891*12.011/44.01,3)</f>
        <v>0.24299999999999999</v>
      </c>
      <c r="H115" s="171">
        <v>3.3</v>
      </c>
      <c r="I115" s="228">
        <f>ROUND(IF(G115&gt;0,44.01*G115/12.011,IF(H115&gt;0, H115,3.3)*0.27),3)</f>
        <v>0.89</v>
      </c>
      <c r="J115" s="231">
        <f>ROUND(IF(H115&gt;0,H115,3.3)*IF(J109&gt;0,J109,0.504)/IF(H109&gt;0,H109,9.8),3)</f>
        <v>0.17</v>
      </c>
      <c r="K115" s="81">
        <f t="shared" si="4"/>
        <v>0</v>
      </c>
      <c r="L115" s="82">
        <f>ROUND(($E115-$F115)*(-$I115),0)</f>
        <v>0</v>
      </c>
      <c r="M115" s="95">
        <f>ROUND(IF(J115&gt;0,J115,0.17)*(E115-F115),0)</f>
        <v>0</v>
      </c>
      <c r="N115" s="83"/>
      <c r="O115" s="96">
        <f>ROUND(IF($H115&gt;0,$H115,3.3)*($E115-$F115)/1000,0)</f>
        <v>0</v>
      </c>
    </row>
    <row r="116" spans="1:18">
      <c r="A116" s="330"/>
      <c r="B116" s="53"/>
      <c r="C116" s="63" t="s">
        <v>129</v>
      </c>
      <c r="D116" s="184" t="s">
        <v>102</v>
      </c>
      <c r="E116" s="145"/>
      <c r="F116" s="146"/>
      <c r="G116" s="192">
        <f>ROUND(1.512*12.011/44.01,3)</f>
        <v>0.41299999999999998</v>
      </c>
      <c r="H116" s="193">
        <v>8.4</v>
      </c>
      <c r="I116" s="229">
        <f>ROUND(IF(G116&gt;0,44.01*G116/12.011,IF(H116&gt;0, H116,8.4)*0.18),3)</f>
        <v>1.5129999999999999</v>
      </c>
      <c r="J116" s="253">
        <f>ROUND(IF(H116&gt;0,H116,8.4)*IF(J109&gt;0,J109,0.504)/IF(H109&gt;0,H109,9.8),3)</f>
        <v>0.432</v>
      </c>
      <c r="K116" s="183">
        <f t="shared" si="4"/>
        <v>0</v>
      </c>
      <c r="L116" s="95">
        <f>ROUND(($E116-$F116)*(-$I116),0)</f>
        <v>0</v>
      </c>
      <c r="M116" s="95">
        <f>ROUND(IF(J116&gt;0,J116,0.432)*(E116-F116),0)</f>
        <v>0</v>
      </c>
      <c r="N116" s="92"/>
      <c r="O116" s="96">
        <f>ROUND(IF($H116&gt;0,$H116,8.4)*($E116-$F116)/1000,0)</f>
        <v>0</v>
      </c>
    </row>
    <row r="117" spans="1:18">
      <c r="A117" s="330" t="s">
        <v>205</v>
      </c>
      <c r="B117" s="53"/>
      <c r="C117" s="176" t="s">
        <v>191</v>
      </c>
      <c r="D117" s="186" t="s">
        <v>146</v>
      </c>
      <c r="E117" s="145"/>
      <c r="F117" s="149"/>
      <c r="G117" s="180"/>
      <c r="H117" s="181">
        <v>1</v>
      </c>
      <c r="I117" s="288"/>
      <c r="J117" s="253">
        <f>ROUND(H117*IF(J109&gt;0,J109,0.504)/IF(H109&gt;0,H109,9.8),3)</f>
        <v>5.0999999999999997E-2</v>
      </c>
      <c r="K117" s="183">
        <f t="shared" si="4"/>
        <v>0</v>
      </c>
      <c r="L117" s="95"/>
      <c r="M117" s="95">
        <f>ROUND(IF($J117&gt;0,$J117,0.051)*($E117-$F117),0)</f>
        <v>0</v>
      </c>
      <c r="N117" s="245"/>
      <c r="O117" s="96">
        <f>ROUND(IF($H117&gt;0,$H117,1)*($E117-$F117)/1000,0)</f>
        <v>0</v>
      </c>
    </row>
    <row r="118" spans="1:18">
      <c r="A118" s="330" t="s">
        <v>205</v>
      </c>
      <c r="B118" s="53"/>
      <c r="C118" s="54" t="s">
        <v>202</v>
      </c>
      <c r="D118" s="55" t="s">
        <v>96</v>
      </c>
      <c r="E118" s="145"/>
      <c r="F118" s="149"/>
      <c r="G118" s="192">
        <f>ROUND(0.52*0.789,3)</f>
        <v>0.41</v>
      </c>
      <c r="H118" s="193">
        <f>ROUND(0.789*8.3*0.0036*1000,3)</f>
        <v>23.574999999999999</v>
      </c>
      <c r="I118" s="288"/>
      <c r="J118" s="275">
        <v>1.494</v>
      </c>
      <c r="K118" s="183">
        <f t="shared" si="4"/>
        <v>0</v>
      </c>
      <c r="L118" s="85"/>
      <c r="M118" s="85"/>
      <c r="N118" s="92">
        <f>ROUND(IF($J118&gt;0,$J118,1.494)*($E118-$F118),0)</f>
        <v>0</v>
      </c>
      <c r="O118" s="96">
        <f>ROUND(IF($H118&gt;0,$H118,23.575)*($E118-$F118)/1000,0)</f>
        <v>0</v>
      </c>
      <c r="Q118" s="295"/>
    </row>
    <row r="119" spans="1:18">
      <c r="A119" s="330" t="s">
        <v>205</v>
      </c>
      <c r="B119" s="53"/>
      <c r="C119" s="54" t="s">
        <v>203</v>
      </c>
      <c r="D119" s="55" t="s">
        <v>96</v>
      </c>
      <c r="E119" s="145"/>
      <c r="F119" s="149"/>
      <c r="G119" s="192">
        <f>ROUND(0.37*0.791,3)</f>
        <v>0.29299999999999998</v>
      </c>
      <c r="H119" s="193">
        <f>ROUND(5.5*0.791*0.0036*1000,3)</f>
        <v>15.662000000000001</v>
      </c>
      <c r="I119" s="288"/>
      <c r="J119" s="275">
        <f>ROUND(0.0688*19.9,3)</f>
        <v>1.369</v>
      </c>
      <c r="K119" s="183">
        <f t="shared" si="4"/>
        <v>0</v>
      </c>
      <c r="L119" s="93"/>
      <c r="M119" s="93"/>
      <c r="N119" s="92">
        <f>ROUND(IF($J119&gt;0,$J119,1.369)*($E119-$F119),0)</f>
        <v>0</v>
      </c>
      <c r="O119" s="96">
        <f>ROUND(IF($H119&gt;0,$H119,15.662)*($E119-$F119)/1000,0)</f>
        <v>0</v>
      </c>
    </row>
    <row r="120" spans="1:18">
      <c r="A120" s="330" t="s">
        <v>205</v>
      </c>
      <c r="B120" s="53"/>
      <c r="C120" s="56" t="s">
        <v>201</v>
      </c>
      <c r="D120" s="184" t="s">
        <v>100</v>
      </c>
      <c r="E120" s="189"/>
      <c r="F120" s="185"/>
      <c r="G120" s="180"/>
      <c r="H120" s="193">
        <v>37.5</v>
      </c>
      <c r="I120" s="288"/>
      <c r="J120" s="276">
        <v>1.6</v>
      </c>
      <c r="K120" s="183">
        <f t="shared" si="4"/>
        <v>0</v>
      </c>
      <c r="L120" s="95"/>
      <c r="M120" s="95"/>
      <c r="N120" s="88">
        <f>ROUND(IF($J120&gt;0,$J120,1.6)*($E120-$F120),0)</f>
        <v>0</v>
      </c>
      <c r="O120" s="215">
        <f>ROUND(IF($H120&gt;0,$H120,37.5)*($E120-$F120)/1000,0)</f>
        <v>0</v>
      </c>
    </row>
    <row r="121" spans="1:18">
      <c r="A121" s="330"/>
      <c r="B121" s="50"/>
      <c r="C121" s="196" t="s">
        <v>198</v>
      </c>
      <c r="D121" s="197" t="s">
        <v>100</v>
      </c>
      <c r="E121" s="198"/>
      <c r="F121" s="199"/>
      <c r="G121" s="206"/>
      <c r="H121" s="207"/>
      <c r="I121" s="208"/>
      <c r="J121" s="289">
        <v>0.55000000000000004</v>
      </c>
      <c r="K121" s="226">
        <f t="shared" si="4"/>
        <v>0</v>
      </c>
      <c r="L121" s="203"/>
      <c r="M121" s="203"/>
      <c r="N121" s="83">
        <f>ROUND(IF($J121&gt;0,$J121,0.55)*($E121-$F121),0)</f>
        <v>0</v>
      </c>
      <c r="O121" s="205">
        <f>ROUND(IF($H121&gt;0,$H121,0)*($E121-$F121)/1000,0)</f>
        <v>0</v>
      </c>
    </row>
    <row r="122" spans="1:18">
      <c r="A122" s="330"/>
      <c r="B122" s="53"/>
      <c r="C122" s="58" t="s">
        <v>199</v>
      </c>
      <c r="D122" s="55" t="s">
        <v>100</v>
      </c>
      <c r="E122" s="145"/>
      <c r="F122" s="149"/>
      <c r="G122" s="142"/>
      <c r="H122" s="143"/>
      <c r="I122" s="128"/>
      <c r="J122" s="279">
        <v>0.3</v>
      </c>
      <c r="K122" s="183">
        <f t="shared" si="4"/>
        <v>0</v>
      </c>
      <c r="L122" s="85"/>
      <c r="M122" s="85"/>
      <c r="N122" s="92">
        <f>ROUND(IF($J122&gt;0,$J122,0.3)*($E122-$F122),0)</f>
        <v>0</v>
      </c>
      <c r="O122" s="96">
        <f>ROUND(IF($H122&gt;0,$H122,0)*($E122-$F122)/1000,0)</f>
        <v>0</v>
      </c>
      <c r="R122" s="295"/>
    </row>
    <row r="123" spans="1:18">
      <c r="A123" s="330" t="s">
        <v>205</v>
      </c>
      <c r="B123" s="53"/>
      <c r="C123" s="63" t="s">
        <v>190</v>
      </c>
      <c r="D123" s="184" t="s">
        <v>100</v>
      </c>
      <c r="E123" s="145"/>
      <c r="F123" s="149"/>
      <c r="G123" s="142"/>
      <c r="H123" s="143"/>
      <c r="I123" s="182"/>
      <c r="J123" s="279">
        <v>0.3</v>
      </c>
      <c r="K123" s="183">
        <f t="shared" si="4"/>
        <v>0</v>
      </c>
      <c r="L123" s="85"/>
      <c r="M123" s="85"/>
      <c r="N123" s="92">
        <f>ROUND(IF($J123&gt;0,$J123,0.3)*($E123-$F123),0)</f>
        <v>0</v>
      </c>
      <c r="O123" s="96">
        <f>ROUND(IF($H123&gt;0,$H123,0)*($E123-$F123)/1000,0)</f>
        <v>0</v>
      </c>
    </row>
    <row r="124" spans="1:18">
      <c r="A124" s="330"/>
      <c r="B124" s="50"/>
      <c r="C124" s="63" t="s">
        <v>130</v>
      </c>
      <c r="D124" s="184" t="s">
        <v>100</v>
      </c>
      <c r="E124" s="145"/>
      <c r="F124" s="149"/>
      <c r="G124" s="142"/>
      <c r="H124" s="143"/>
      <c r="I124" s="182">
        <v>1</v>
      </c>
      <c r="J124" s="124"/>
      <c r="K124" s="81">
        <f>ROUND($I124*($E124-$F124),0)</f>
        <v>0</v>
      </c>
      <c r="L124" s="85"/>
      <c r="M124" s="85"/>
      <c r="N124" s="92">
        <f>ROUND(IF($J124&gt;0,$J124,0)*($E124-$F124),0)</f>
        <v>0</v>
      </c>
      <c r="O124" s="96">
        <f>ROUND(IF($H124&gt;0,$H124,0)*($E124-$F124)/1000,0)</f>
        <v>0</v>
      </c>
    </row>
    <row r="125" spans="1:18">
      <c r="A125" s="330" t="s">
        <v>205</v>
      </c>
      <c r="B125" s="50"/>
      <c r="C125" s="66" t="s">
        <v>180</v>
      </c>
      <c r="D125" s="224" t="s">
        <v>100</v>
      </c>
      <c r="E125" s="152"/>
      <c r="F125" s="153"/>
      <c r="G125" s="190"/>
      <c r="H125" s="191"/>
      <c r="I125" s="131">
        <v>1</v>
      </c>
      <c r="J125" s="125"/>
      <c r="K125" s="183">
        <f>ROUND($I125*($E125-$F125),0)</f>
        <v>0</v>
      </c>
      <c r="L125" s="94"/>
      <c r="M125" s="94"/>
      <c r="N125" s="88">
        <f>ROUND(IF($J125&gt;0,$J125,0)*($E125-$F125),0)</f>
        <v>0</v>
      </c>
      <c r="O125" s="215">
        <f>ROUND(IF($H125&gt;0,$H125,0)*($E125-$F125)/1000,0)</f>
        <v>0</v>
      </c>
      <c r="R125" s="295"/>
    </row>
    <row r="126" spans="1:18">
      <c r="A126" s="255"/>
      <c r="B126" s="53"/>
      <c r="C126" s="176" t="s">
        <v>131</v>
      </c>
      <c r="D126" s="186" t="s">
        <v>100</v>
      </c>
      <c r="E126" s="150"/>
      <c r="F126" s="187"/>
      <c r="G126" s="188"/>
      <c r="H126" s="290">
        <v>37</v>
      </c>
      <c r="I126" s="292">
        <f>ROUND(44.01*0.925/12.011,3)</f>
        <v>3.3889999999999998</v>
      </c>
      <c r="J126" s="178"/>
      <c r="K126" s="226">
        <f>ROUND(IF($I126&gt;0,$I126,3.389)*($E126-$F126),0)</f>
        <v>0</v>
      </c>
      <c r="L126" s="158"/>
      <c r="M126" s="158"/>
      <c r="N126" s="83">
        <f>ROUND(IF($J126&gt;0,$J126,0)*($E126-$F126),0)</f>
        <v>0</v>
      </c>
      <c r="O126" s="91">
        <f>ROUND(IF($H126&gt;0,$H126,37)*($E126-$F126)/1000,0)</f>
        <v>0</v>
      </c>
    </row>
    <row r="127" spans="1:18">
      <c r="A127" s="254"/>
      <c r="B127" s="50"/>
      <c r="C127" s="56" t="s">
        <v>132</v>
      </c>
      <c r="D127" s="57" t="s">
        <v>100</v>
      </c>
      <c r="E127" s="145"/>
      <c r="F127" s="148"/>
      <c r="G127" s="144"/>
      <c r="H127" s="291">
        <v>40.57</v>
      </c>
      <c r="I127" s="277">
        <f>ROUND(44.01*0.923/12.011,3)</f>
        <v>3.3820000000000001</v>
      </c>
      <c r="J127" s="125"/>
      <c r="K127" s="214">
        <f>ROUND(IF($I127&gt;0,$I127,3.382)*($E127-$F127),0)</f>
        <v>0</v>
      </c>
      <c r="L127" s="87"/>
      <c r="M127" s="87"/>
      <c r="N127" s="92">
        <f>ROUND(IF($J127&gt;0,$J127,0)*($E127-$F127),0)</f>
        <v>0</v>
      </c>
      <c r="O127" s="84">
        <f>ROUND(IF($H127&gt;0,$H127,40.57)*($E127-$F127)/1000,0)</f>
        <v>0</v>
      </c>
    </row>
    <row r="128" spans="1:18">
      <c r="A128" s="1"/>
      <c r="B128" s="1"/>
      <c r="C128" s="98" t="s">
        <v>162</v>
      </c>
      <c r="D128" s="99" t="s">
        <v>155</v>
      </c>
      <c r="E128" s="117">
        <f t="shared" ref="E128:E133" si="5">IF(($I$31)&gt;0,H128/($I$31),0)</f>
        <v>0</v>
      </c>
      <c r="F128" s="97" t="s">
        <v>164</v>
      </c>
      <c r="G128" s="99" t="s">
        <v>174</v>
      </c>
      <c r="H128" s="115">
        <f>H129-H130-H131-H132-H133</f>
        <v>0</v>
      </c>
      <c r="I128" s="111" t="s">
        <v>163</v>
      </c>
      <c r="J128" s="99" t="s">
        <v>161</v>
      </c>
      <c r="K128" s="115">
        <f>K129-K130-K131-K132-K133</f>
        <v>0</v>
      </c>
      <c r="L128" s="116">
        <f>L129-L130-L131-L132-L133</f>
        <v>0</v>
      </c>
      <c r="M128" s="116">
        <f>M129-M130-M131-M132-M133</f>
        <v>0</v>
      </c>
      <c r="N128" s="116">
        <f>N129-N130-N131-N132-N133</f>
        <v>0</v>
      </c>
      <c r="O128" s="100"/>
    </row>
    <row r="129" spans="1:16">
      <c r="A129" s="1"/>
      <c r="B129" s="1"/>
      <c r="C129" s="248" t="s">
        <v>158</v>
      </c>
      <c r="D129" s="232" t="s">
        <v>157</v>
      </c>
      <c r="E129" s="233">
        <f t="shared" si="5"/>
        <v>0</v>
      </c>
      <c r="F129" s="234" t="s">
        <v>164</v>
      </c>
      <c r="G129" s="232" t="s">
        <v>154</v>
      </c>
      <c r="H129" s="233">
        <f>SUM(K129:N129)</f>
        <v>0</v>
      </c>
      <c r="I129" s="235" t="s">
        <v>163</v>
      </c>
      <c r="J129" s="232" t="s">
        <v>153</v>
      </c>
      <c r="K129" s="236">
        <f>SUM(K61:K127)</f>
        <v>0</v>
      </c>
      <c r="L129" s="237">
        <f>SUM(L61:L127)</f>
        <v>0</v>
      </c>
      <c r="M129" s="237">
        <f>SUM(M61:M127)</f>
        <v>0</v>
      </c>
      <c r="N129" s="238">
        <f>SUM(N61:N127)</f>
        <v>0</v>
      </c>
      <c r="O129" s="239">
        <f>SUM(O61:O127)</f>
        <v>0</v>
      </c>
    </row>
    <row r="130" spans="1:16">
      <c r="A130" s="1"/>
      <c r="B130" s="1"/>
      <c r="C130" s="209"/>
      <c r="D130" s="210" t="s">
        <v>166</v>
      </c>
      <c r="E130" s="246">
        <f t="shared" si="5"/>
        <v>0</v>
      </c>
      <c r="F130" s="212" t="s">
        <v>164</v>
      </c>
      <c r="G130" s="210" t="s">
        <v>159</v>
      </c>
      <c r="H130" s="246">
        <f>SUM(K130:N130)</f>
        <v>0</v>
      </c>
      <c r="I130" s="211" t="s">
        <v>163</v>
      </c>
      <c r="J130" s="210" t="s">
        <v>159</v>
      </c>
      <c r="K130" s="240">
        <f>K121+K122+K123</f>
        <v>0</v>
      </c>
      <c r="L130" s="241">
        <f>L121+L122+L123</f>
        <v>0</v>
      </c>
      <c r="M130" s="241">
        <f>M121+M122+M123</f>
        <v>0</v>
      </c>
      <c r="N130" s="242">
        <f>N121+N122+N123</f>
        <v>0</v>
      </c>
      <c r="O130" s="243"/>
      <c r="P130" s="110"/>
    </row>
    <row r="131" spans="1:16">
      <c r="A131" s="1"/>
      <c r="B131" s="1"/>
      <c r="C131" s="209"/>
      <c r="D131" s="210" t="s">
        <v>167</v>
      </c>
      <c r="E131" s="247">
        <f t="shared" si="5"/>
        <v>0</v>
      </c>
      <c r="F131" s="114" t="s">
        <v>164</v>
      </c>
      <c r="G131" s="210" t="s">
        <v>160</v>
      </c>
      <c r="H131" s="247">
        <f>SUM(K131:N131)</f>
        <v>0</v>
      </c>
      <c r="I131" s="211" t="s">
        <v>163</v>
      </c>
      <c r="J131" s="210" t="s">
        <v>160</v>
      </c>
      <c r="K131" s="244">
        <f t="shared" ref="K131:M132" si="6">K124</f>
        <v>0</v>
      </c>
      <c r="L131" s="95">
        <f t="shared" ref="L131" si="7">L124</f>
        <v>0</v>
      </c>
      <c r="M131" s="95">
        <f t="shared" si="6"/>
        <v>0</v>
      </c>
      <c r="N131" s="245">
        <f>N124</f>
        <v>0</v>
      </c>
      <c r="O131" s="96"/>
    </row>
    <row r="132" spans="1:16">
      <c r="A132" s="1"/>
      <c r="B132" s="1"/>
      <c r="C132" s="209"/>
      <c r="D132" s="210" t="s">
        <v>173</v>
      </c>
      <c r="E132" s="247">
        <f t="shared" si="5"/>
        <v>0</v>
      </c>
      <c r="F132" s="114" t="s">
        <v>164</v>
      </c>
      <c r="G132" s="210" t="s">
        <v>172</v>
      </c>
      <c r="H132" s="247">
        <f>SUM(K132:N132)</f>
        <v>0</v>
      </c>
      <c r="I132" s="211" t="s">
        <v>163</v>
      </c>
      <c r="J132" s="210" t="s">
        <v>172</v>
      </c>
      <c r="K132" s="244">
        <f t="shared" si="6"/>
        <v>0</v>
      </c>
      <c r="L132" s="95">
        <f t="shared" ref="L132" si="8">L125</f>
        <v>0</v>
      </c>
      <c r="M132" s="95">
        <f t="shared" si="6"/>
        <v>0</v>
      </c>
      <c r="N132" s="245">
        <f>N125</f>
        <v>0</v>
      </c>
      <c r="O132" s="96"/>
    </row>
    <row r="133" spans="1:16">
      <c r="A133" s="1"/>
      <c r="B133" s="1"/>
      <c r="C133" s="108"/>
      <c r="D133" s="329" t="s">
        <v>213</v>
      </c>
      <c r="E133" s="113">
        <f t="shared" si="5"/>
        <v>0</v>
      </c>
      <c r="F133" s="213" t="s">
        <v>214</v>
      </c>
      <c r="G133" s="109" t="s">
        <v>213</v>
      </c>
      <c r="H133" s="113">
        <f>SUM(K133:N133)</f>
        <v>0</v>
      </c>
      <c r="I133" s="112" t="s">
        <v>215</v>
      </c>
      <c r="J133" s="109" t="s">
        <v>213</v>
      </c>
      <c r="K133" s="214">
        <f>SUM(K118:K120)</f>
        <v>0</v>
      </c>
      <c r="L133" s="94">
        <f>SUM(L118:L120)</f>
        <v>0</v>
      </c>
      <c r="M133" s="94">
        <f>SUM(M118:M120)</f>
        <v>0</v>
      </c>
      <c r="N133" s="88">
        <f>SUM(N118:N120)</f>
        <v>0</v>
      </c>
      <c r="O133" s="215"/>
    </row>
    <row r="134" spans="1:16">
      <c r="C134" s="327" t="s">
        <v>156</v>
      </c>
      <c r="D134" s="328"/>
      <c r="E134" s="113">
        <f>IF(($I$31)&gt;0,1000*O129/($I$31),0)</f>
        <v>0</v>
      </c>
      <c r="F134" s="213" t="s">
        <v>165</v>
      </c>
      <c r="G134" s="102"/>
      <c r="H134" s="101"/>
      <c r="I134" s="101"/>
      <c r="J134" s="101"/>
      <c r="K134" s="101"/>
      <c r="L134" s="101"/>
      <c r="M134" s="101"/>
    </row>
    <row r="135" spans="1:16">
      <c r="A135" s="1"/>
      <c r="B135" s="1"/>
      <c r="C135" s="1"/>
      <c r="D135" s="1"/>
      <c r="E135" s="1"/>
      <c r="F135" s="103"/>
      <c r="G135" s="103"/>
      <c r="H135" s="103"/>
      <c r="I135" s="101"/>
      <c r="J135" s="104"/>
      <c r="K135" s="104"/>
      <c r="L135" s="104"/>
      <c r="M135" s="105"/>
      <c r="N135" s="105"/>
      <c r="O135" s="105"/>
      <c r="P135" s="104"/>
    </row>
    <row r="136" spans="1:16">
      <c r="A136" s="1"/>
      <c r="B136" s="1"/>
      <c r="C136" s="1"/>
      <c r="D136" s="1"/>
      <c r="E136" s="1"/>
      <c r="F136" s="103"/>
      <c r="G136" s="103"/>
      <c r="H136" s="103"/>
      <c r="I136" s="101"/>
      <c r="J136" s="106"/>
      <c r="K136" s="107"/>
      <c r="L136" s="107"/>
      <c r="M136" s="107"/>
      <c r="N136" s="107"/>
      <c r="O136" s="107"/>
      <c r="P136" s="107"/>
    </row>
    <row r="137" spans="1:16">
      <c r="A137" s="1"/>
      <c r="B137" s="1"/>
      <c r="C137" s="360" t="s">
        <v>133</v>
      </c>
      <c r="D137" s="360"/>
      <c r="E137" s="360"/>
      <c r="F137" s="360"/>
      <c r="G137" s="360"/>
      <c r="H137" s="1"/>
      <c r="I137" s="1"/>
      <c r="J137" s="107"/>
      <c r="K137" s="107"/>
      <c r="L137" s="107"/>
      <c r="M137" s="107"/>
      <c r="N137" s="107"/>
      <c r="O137" s="107"/>
      <c r="P137" s="107"/>
    </row>
    <row r="138" spans="1:16">
      <c r="A138" s="1"/>
      <c r="B138" s="1"/>
      <c r="C138" s="11" t="s">
        <v>134</v>
      </c>
      <c r="D138" s="12">
        <v>1</v>
      </c>
      <c r="E138" s="13" t="s">
        <v>135</v>
      </c>
      <c r="F138" s="14">
        <v>2.6861628028321465E-2</v>
      </c>
      <c r="G138" s="13" t="s">
        <v>136</v>
      </c>
      <c r="H138" s="15"/>
      <c r="I138" s="1"/>
      <c r="J138" s="1"/>
      <c r="K138" s="1"/>
      <c r="L138" s="1"/>
      <c r="M138" s="1"/>
      <c r="N138" s="1"/>
      <c r="O138" s="1"/>
      <c r="P138" s="1"/>
    </row>
    <row r="139" spans="1:16">
      <c r="A139" s="1"/>
      <c r="B139" s="1"/>
      <c r="C139" s="16" t="s">
        <v>134</v>
      </c>
      <c r="D139" s="17">
        <v>1</v>
      </c>
      <c r="E139" s="18" t="s">
        <v>137</v>
      </c>
      <c r="F139" s="19">
        <v>3.7854120000000002E-3</v>
      </c>
      <c r="G139" s="18" t="s">
        <v>138</v>
      </c>
      <c r="H139" s="1"/>
      <c r="I139" s="1"/>
      <c r="J139" s="20"/>
      <c r="K139" s="1"/>
      <c r="L139" s="1"/>
      <c r="M139" s="1"/>
      <c r="N139" s="1"/>
      <c r="O139" s="1"/>
      <c r="P139" s="1"/>
    </row>
    <row r="140" spans="1:16">
      <c r="A140" s="1"/>
      <c r="B140" s="1"/>
      <c r="C140" s="16" t="s">
        <v>139</v>
      </c>
      <c r="D140" s="17">
        <v>1</v>
      </c>
      <c r="E140" s="18" t="s">
        <v>140</v>
      </c>
      <c r="F140" s="19">
        <v>0.453592</v>
      </c>
      <c r="G140" s="18" t="s">
        <v>141</v>
      </c>
      <c r="H140" s="1"/>
      <c r="I140" s="1"/>
      <c r="J140" s="21"/>
      <c r="K140" s="1"/>
      <c r="L140" s="1"/>
      <c r="M140" s="1"/>
      <c r="N140" s="1"/>
      <c r="O140" s="1"/>
      <c r="P140" s="1"/>
    </row>
    <row r="141" spans="1:16">
      <c r="A141" s="1"/>
      <c r="B141" s="1"/>
      <c r="C141" s="16" t="s">
        <v>139</v>
      </c>
      <c r="D141" s="17">
        <v>1</v>
      </c>
      <c r="E141" s="18" t="s">
        <v>142</v>
      </c>
      <c r="F141" s="19">
        <v>0.90718399999999999</v>
      </c>
      <c r="G141" s="18" t="s">
        <v>143</v>
      </c>
      <c r="H141" s="1"/>
      <c r="I141" s="1"/>
      <c r="J141" s="1"/>
      <c r="K141" s="1"/>
      <c r="L141" s="1"/>
      <c r="M141" s="1"/>
      <c r="N141" s="1"/>
      <c r="O141" s="2"/>
      <c r="P141" s="2"/>
    </row>
    <row r="142" spans="1:16">
      <c r="A142" s="1"/>
      <c r="B142" s="1"/>
      <c r="C142" s="16" t="s">
        <v>144</v>
      </c>
      <c r="D142" s="17">
        <v>1</v>
      </c>
      <c r="E142" s="18" t="s">
        <v>145</v>
      </c>
      <c r="F142" s="19">
        <v>1.0543494044444444</v>
      </c>
      <c r="G142" s="18" t="s">
        <v>146</v>
      </c>
      <c r="H142" s="1"/>
      <c r="I142" s="1"/>
      <c r="J142" s="1"/>
      <c r="K142" s="20"/>
      <c r="L142" s="20"/>
      <c r="M142" s="20"/>
      <c r="N142" s="1"/>
      <c r="O142" s="2"/>
      <c r="P142" s="2"/>
    </row>
    <row r="143" spans="1:16">
      <c r="A143" s="1"/>
      <c r="B143" s="1"/>
      <c r="C143" s="16" t="s">
        <v>144</v>
      </c>
      <c r="D143" s="17">
        <v>1</v>
      </c>
      <c r="E143" s="18" t="s">
        <v>147</v>
      </c>
      <c r="F143" s="19">
        <v>39.251135609978476</v>
      </c>
      <c r="G143" s="18" t="s">
        <v>148</v>
      </c>
      <c r="H143" s="1"/>
      <c r="I143" s="1"/>
      <c r="J143" s="1"/>
      <c r="K143" s="1"/>
      <c r="L143" s="1"/>
      <c r="M143" s="1"/>
      <c r="N143" s="20"/>
      <c r="O143" s="2"/>
      <c r="P143" s="2"/>
    </row>
    <row r="144" spans="1:16">
      <c r="A144" s="1"/>
      <c r="B144" s="1"/>
      <c r="C144" s="16" t="s">
        <v>144</v>
      </c>
      <c r="D144" s="17">
        <v>1</v>
      </c>
      <c r="E144" s="18" t="s">
        <v>149</v>
      </c>
      <c r="F144" s="19">
        <v>1.1622222222222223</v>
      </c>
      <c r="G144" s="18" t="s">
        <v>150</v>
      </c>
      <c r="H144" s="1"/>
      <c r="I144" s="1"/>
      <c r="J144" s="1"/>
      <c r="K144" s="1"/>
      <c r="L144" s="1"/>
      <c r="M144" s="1"/>
      <c r="N144" s="1"/>
      <c r="O144" s="2"/>
      <c r="P144" s="2"/>
    </row>
    <row r="145" spans="1:16">
      <c r="A145" s="1"/>
      <c r="B145" s="1"/>
      <c r="C145" s="22" t="s">
        <v>144</v>
      </c>
      <c r="D145" s="23">
        <v>1</v>
      </c>
      <c r="E145" s="24" t="s">
        <v>151</v>
      </c>
      <c r="F145" s="25">
        <v>0.2785296301814556</v>
      </c>
      <c r="G145" s="24" t="s">
        <v>152</v>
      </c>
      <c r="H145" s="1"/>
      <c r="I145" s="1"/>
      <c r="J145" s="1"/>
      <c r="K145" s="1"/>
      <c r="L145" s="1"/>
      <c r="M145" s="1"/>
      <c r="N145" s="1"/>
      <c r="O145" s="2"/>
      <c r="P145" s="2"/>
    </row>
  </sheetData>
  <mergeCells count="50">
    <mergeCell ref="C137:G137"/>
    <mergeCell ref="F46:H46"/>
    <mergeCell ref="F47:H47"/>
    <mergeCell ref="F48:H48"/>
    <mergeCell ref="F50:I50"/>
    <mergeCell ref="F51:G51"/>
    <mergeCell ref="F52:G52"/>
    <mergeCell ref="F53:G53"/>
    <mergeCell ref="F55:G55"/>
    <mergeCell ref="F56:G56"/>
    <mergeCell ref="E58:H58"/>
    <mergeCell ref="I58:J58"/>
    <mergeCell ref="F54:G54"/>
    <mergeCell ref="F29:H29"/>
    <mergeCell ref="F30:H30"/>
    <mergeCell ref="F31:H31"/>
    <mergeCell ref="F32:H32"/>
    <mergeCell ref="F45:H45"/>
    <mergeCell ref="F34:H34"/>
    <mergeCell ref="F35:H35"/>
    <mergeCell ref="F36:H36"/>
    <mergeCell ref="F37:H37"/>
    <mergeCell ref="F38:H38"/>
    <mergeCell ref="F39:H39"/>
    <mergeCell ref="F40:H40"/>
    <mergeCell ref="F41:H41"/>
    <mergeCell ref="F42:H42"/>
    <mergeCell ref="F43:H43"/>
    <mergeCell ref="F44:H44"/>
    <mergeCell ref="F24:H24"/>
    <mergeCell ref="F25:H25"/>
    <mergeCell ref="F26:H26"/>
    <mergeCell ref="F27:H27"/>
    <mergeCell ref="F28:H28"/>
    <mergeCell ref="K58:O58"/>
    <mergeCell ref="F21:H21"/>
    <mergeCell ref="C1:P1"/>
    <mergeCell ref="G4:I4"/>
    <mergeCell ref="G5:I5"/>
    <mergeCell ref="G6:I6"/>
    <mergeCell ref="E8:J8"/>
    <mergeCell ref="F15:I15"/>
    <mergeCell ref="F16:H16"/>
    <mergeCell ref="F17:H17"/>
    <mergeCell ref="F18:H18"/>
    <mergeCell ref="F19:H19"/>
    <mergeCell ref="F20:H20"/>
    <mergeCell ref="F33:H33"/>
    <mergeCell ref="F22:H22"/>
    <mergeCell ref="F23:H23"/>
  </mergeCells>
  <phoneticPr fontId="18" type="noConversion"/>
  <dataValidations count="9">
    <dataValidation type="list" allowBlank="1" showInputMessage="1" showErrorMessage="1" errorTitle="Grid Not Recognized" error="The value entered does not correspond to one of the Sources of Electricity Grid Information accpeted by the worldsteel methodology." sqref="J109" xr:uid="{561BF1BA-5EA3-48D8-91D5-AA6FAA4EE71B}">
      <formula1>$I$53:$I$56</formula1>
    </dataValidation>
    <dataValidation type="list" allowBlank="1" showInputMessage="1" showErrorMessage="1" errorTitle="Grid Not Recognized" error="The value entered does not correspond to one of the Sources of Electricity Grid Information accpeted by the worldsteel methodology." sqref="H109" xr:uid="{69E079C1-12EE-4BFB-8C24-840AD27E5F8D}">
      <formula1>$H$53:$H$56</formula1>
    </dataValidation>
    <dataValidation type="custom" allowBlank="1" showInputMessage="1" showErrorMessage="1" errorTitle="Data format " error="The value entered does not match the format of cell._x000a__x000a_You can not fill in more than 3 decimal places. i.e. : 0.0001(x), 0.001(o)" sqref="G77:G78 J110:J123 I85 H118:H120 J86:J108 G61:G68 I61:I68 J68 G70 J73:J75 I70:I78 H94:H98 J77:J82 I83 H62:H82 H84 G82:G83 J84 G85 H86:H88 H126:H127 H90:H92 I89:I94 G90:G108 I96:I108 G114:G116 I114:I116 G118:G119 H110:H116 I126:I127" xr:uid="{E1985E20-DD01-4A0B-9D69-7124A7803EDE}">
      <formula1>IF(ROUND(G61*1000,0)/1000=G61,TRUE,FALSE)</formula1>
    </dataValidation>
    <dataValidation type="textLength" operator="equal" showInputMessage="1" showErrorMessage="1" errorTitle="Data format" error="The value entered does not match the format of cell._x000a__x000a_Organization is composed with 4 alphabet letter._x000a__x000a_i.e. ABCD" sqref="G5:I5" xr:uid="{C1A7D1C3-56F4-43A8-A234-81CE4DFB75D3}">
      <formula1>4</formula1>
    </dataValidation>
    <dataValidation type="textLength" operator="equal" showInputMessage="1" showErrorMessage="1" errorTitle="Data Format" error="The value entered does not match the format of cell._x000a__x000a_Site is composed with 4 alphabet letters and 3 integer numbers.(Total 7) _x000a__x000a_i.e. ABCD001" sqref="G4:I4" xr:uid="{0FBD2163-0090-4FB9-A166-D1F89AD366C1}">
      <formula1>7</formula1>
    </dataValidation>
    <dataValidation type="textLength" showInputMessage="1" showErrorMessage="1" errorTitle="Data format" error="The value entered does not match the format of cell._x000a__x000a_Year value should be 4 integer digit. i.e. 2007" sqref="G6:I6" xr:uid="{C1746A5A-27C6-40E4-BE82-8A4DB2F85877}">
      <formula1>4</formula1>
      <formula2>4</formula2>
    </dataValidation>
    <dataValidation type="decimal" allowBlank="1" showInputMessage="1" showErrorMessage="1" errorTitle="Data format" error="The value entered does not match the format of cell._x000a__x000a_You should fill in data from 0 to 100" sqref="I44:I45" xr:uid="{2030687E-060E-4250-8169-AD0A7A4EFD33}">
      <formula1>0</formula1>
      <formula2>100</formula2>
    </dataValidation>
    <dataValidation type="custom" allowBlank="1" showInputMessage="1" showErrorMessage="1" errorTitle="Data Format" error="The value entered does not match the format of cell._x000a__x000a_This is a fixed value cell. It should be left blank." sqref="H61 J61 J62 J63 J64 J65 J66 J67 I69 J69 G69 G71 G72 J72 J71 J70 G73 G74 G75 G76 J76 I79 I80 I81 I82 G81 G80 G79 J83 I84 H83 H85 G84 J85 G86 G87 G88 G89 H89 I88 I87 I86 H93 I95 H99 H100 H101 H102 H103 H104 H105 H106 H107 H108 G109 G110 G111 G112 G113 I109 I110 I111 I112 I113 G117 I117 I118 I119 I120 G120 G121 G122 G123 G124 G125 H121 H122 H123 H124 H125 I121 I122 I123 J124 J125 J126 J127 G127 G126" xr:uid="{09C233F9-05A9-4900-A27A-A04EAF366754}">
      <formula1>0</formula1>
    </dataValidation>
    <dataValidation type="custom" allowBlank="1" showInputMessage="1" showErrorMessage="1" errorTitle="Data format " error="The value entered does not match the format of cell._x000a_The value entered does not match the format of cell._x000a__x000a_This is a fixed value cell." sqref="I125 I124 H117" xr:uid="{B297B119-96C7-42A2-B286-A360DA7F58B0}">
      <formula1>1</formula1>
    </dataValidation>
  </dataValidations>
  <pageMargins left="0.7" right="0.7" top="0.75" bottom="0.75" header="0.3" footer="0.3"/>
  <pageSetup paperSize="9" scale="2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2E5DE-6FE1-41BC-B178-9B4D80AE0DAE}">
  <sheetPr codeName="Sheet2">
    <tabColor theme="9" tint="0.79998168889431442"/>
  </sheetPr>
  <dimension ref="B2:F55"/>
  <sheetViews>
    <sheetView topLeftCell="A38" workbookViewId="0">
      <selection activeCell="D64" sqref="D64"/>
    </sheetView>
  </sheetViews>
  <sheetFormatPr defaultRowHeight="16.5"/>
  <cols>
    <col min="2" max="2" width="11.109375" customWidth="1"/>
    <col min="3" max="6" width="11.5546875" customWidth="1"/>
  </cols>
  <sheetData>
    <row r="2" spans="2:6">
      <c r="C2" s="372" t="s">
        <v>206</v>
      </c>
      <c r="D2" s="373"/>
      <c r="E2" s="372" t="s">
        <v>207</v>
      </c>
      <c r="F2" s="373"/>
    </row>
    <row r="3" spans="2:6" ht="33" customHeight="1">
      <c r="B3" s="370" t="s">
        <v>186</v>
      </c>
      <c r="C3" s="256" t="s">
        <v>72</v>
      </c>
      <c r="D3" s="219" t="s">
        <v>74</v>
      </c>
      <c r="E3" s="256" t="s">
        <v>72</v>
      </c>
      <c r="F3" s="219" t="s">
        <v>74</v>
      </c>
    </row>
    <row r="4" spans="2:6">
      <c r="B4" s="371"/>
      <c r="C4" s="257" t="s">
        <v>179</v>
      </c>
      <c r="D4" s="258" t="s">
        <v>178</v>
      </c>
      <c r="E4" s="257" t="s">
        <v>179</v>
      </c>
      <c r="F4" s="258" t="s">
        <v>178</v>
      </c>
    </row>
    <row r="5" spans="2:6">
      <c r="B5" s="308">
        <v>2000</v>
      </c>
      <c r="C5" s="313">
        <v>9.8000000000000007</v>
      </c>
      <c r="D5" s="310">
        <v>0.504</v>
      </c>
      <c r="E5" s="265">
        <f>IF(C5&lt;&gt;"",C5,E4)</f>
        <v>9.8000000000000007</v>
      </c>
      <c r="F5" s="266">
        <f>IF(D5&lt;&gt;"",D5,F4)</f>
        <v>0.504</v>
      </c>
    </row>
    <row r="6" spans="2:6">
      <c r="B6" s="309">
        <v>2001</v>
      </c>
      <c r="C6" s="313">
        <v>9.8000000000000007</v>
      </c>
      <c r="D6" s="310">
        <v>0.504</v>
      </c>
      <c r="E6" s="267">
        <f t="shared" ref="E6:E30" si="0">IF(C6&lt;&gt;"",C6,E5)</f>
        <v>9.8000000000000007</v>
      </c>
      <c r="F6" s="268">
        <f t="shared" ref="F6:F30" si="1">IF(D6&lt;&gt;"",D6,F5)</f>
        <v>0.504</v>
      </c>
    </row>
    <row r="7" spans="2:6">
      <c r="B7" s="309">
        <v>2002</v>
      </c>
      <c r="C7" s="313">
        <v>9.8000000000000007</v>
      </c>
      <c r="D7" s="310">
        <v>0.504</v>
      </c>
      <c r="E7" s="267">
        <f t="shared" si="0"/>
        <v>9.8000000000000007</v>
      </c>
      <c r="F7" s="268">
        <f t="shared" si="1"/>
        <v>0.504</v>
      </c>
    </row>
    <row r="8" spans="2:6">
      <c r="B8" s="309">
        <v>2003</v>
      </c>
      <c r="C8" s="313">
        <v>9.8000000000000007</v>
      </c>
      <c r="D8" s="310">
        <v>0.504</v>
      </c>
      <c r="E8" s="267">
        <f t="shared" si="0"/>
        <v>9.8000000000000007</v>
      </c>
      <c r="F8" s="268">
        <f t="shared" si="1"/>
        <v>0.504</v>
      </c>
    </row>
    <row r="9" spans="2:6">
      <c r="B9" s="309">
        <v>2004</v>
      </c>
      <c r="C9" s="313">
        <v>9.8000000000000007</v>
      </c>
      <c r="D9" s="310">
        <v>0.504</v>
      </c>
      <c r="E9" s="267">
        <f t="shared" si="0"/>
        <v>9.8000000000000007</v>
      </c>
      <c r="F9" s="268">
        <f t="shared" si="1"/>
        <v>0.504</v>
      </c>
    </row>
    <row r="10" spans="2:6">
      <c r="B10" s="309">
        <v>2005</v>
      </c>
      <c r="C10" s="313">
        <v>9.8000000000000007</v>
      </c>
      <c r="D10" s="310">
        <v>0.504</v>
      </c>
      <c r="E10" s="267">
        <f>IF(C10&lt;&gt;"",C10,E9)</f>
        <v>9.8000000000000007</v>
      </c>
      <c r="F10" s="268">
        <f>IF(D10&lt;&gt;"",D10,F9)</f>
        <v>0.504</v>
      </c>
    </row>
    <row r="11" spans="2:6">
      <c r="B11" s="309">
        <v>2006</v>
      </c>
      <c r="C11" s="313">
        <v>9.8000000000000007</v>
      </c>
      <c r="D11" s="310">
        <v>0.504</v>
      </c>
      <c r="E11" s="267">
        <f t="shared" si="0"/>
        <v>9.8000000000000007</v>
      </c>
      <c r="F11" s="268">
        <f t="shared" si="1"/>
        <v>0.504</v>
      </c>
    </row>
    <row r="12" spans="2:6">
      <c r="B12" s="309">
        <v>2007</v>
      </c>
      <c r="C12" s="313"/>
      <c r="D12" s="310"/>
      <c r="E12" s="267">
        <f t="shared" si="0"/>
        <v>9.8000000000000007</v>
      </c>
      <c r="F12" s="268">
        <f t="shared" si="1"/>
        <v>0.504</v>
      </c>
    </row>
    <row r="13" spans="2:6">
      <c r="B13" s="309">
        <v>2008</v>
      </c>
      <c r="C13" s="313"/>
      <c r="D13" s="310"/>
      <c r="E13" s="267">
        <f t="shared" si="0"/>
        <v>9.8000000000000007</v>
      </c>
      <c r="F13" s="268">
        <f t="shared" si="1"/>
        <v>0.504</v>
      </c>
    </row>
    <row r="14" spans="2:6">
      <c r="B14" s="309">
        <v>2009</v>
      </c>
      <c r="C14" s="313"/>
      <c r="D14" s="310"/>
      <c r="E14" s="267">
        <f t="shared" si="0"/>
        <v>9.8000000000000007</v>
      </c>
      <c r="F14" s="268">
        <f t="shared" si="1"/>
        <v>0.504</v>
      </c>
    </row>
    <row r="15" spans="2:6">
      <c r="B15" s="309">
        <v>2010</v>
      </c>
      <c r="C15" s="313"/>
      <c r="D15" s="310">
        <v>0.52500000000000002</v>
      </c>
      <c r="E15" s="269">
        <f t="shared" si="0"/>
        <v>9.8000000000000007</v>
      </c>
      <c r="F15" s="268">
        <f t="shared" si="1"/>
        <v>0.52500000000000002</v>
      </c>
    </row>
    <row r="16" spans="2:6">
      <c r="B16" s="309">
        <v>2011</v>
      </c>
      <c r="C16" s="313"/>
      <c r="D16" s="310">
        <v>0.53300000000000003</v>
      </c>
      <c r="E16" s="269">
        <f t="shared" si="0"/>
        <v>9.8000000000000007</v>
      </c>
      <c r="F16" s="268">
        <f t="shared" si="1"/>
        <v>0.53300000000000003</v>
      </c>
    </row>
    <row r="17" spans="2:6">
      <c r="B17" s="309">
        <v>2012</v>
      </c>
      <c r="C17" s="313"/>
      <c r="D17" s="310">
        <v>0.53200000000000003</v>
      </c>
      <c r="E17" s="269">
        <f t="shared" si="0"/>
        <v>9.8000000000000007</v>
      </c>
      <c r="F17" s="268">
        <f t="shared" si="1"/>
        <v>0.53200000000000003</v>
      </c>
    </row>
    <row r="18" spans="2:6">
      <c r="B18" s="309">
        <v>2013</v>
      </c>
      <c r="C18" s="313"/>
      <c r="D18" s="310">
        <v>0.52800000000000002</v>
      </c>
      <c r="E18" s="269">
        <f t="shared" si="0"/>
        <v>9.8000000000000007</v>
      </c>
      <c r="F18" s="268">
        <f t="shared" si="1"/>
        <v>0.52800000000000002</v>
      </c>
    </row>
    <row r="19" spans="2:6">
      <c r="B19" s="309">
        <v>2014</v>
      </c>
      <c r="C19" s="313"/>
      <c r="D19" s="310">
        <v>0.51800000000000002</v>
      </c>
      <c r="E19" s="269">
        <f t="shared" si="0"/>
        <v>9.8000000000000007</v>
      </c>
      <c r="F19" s="268">
        <f t="shared" si="1"/>
        <v>0.51800000000000002</v>
      </c>
    </row>
    <row r="20" spans="2:6">
      <c r="B20" s="309">
        <v>2015</v>
      </c>
      <c r="C20" s="313"/>
      <c r="D20" s="310">
        <v>0.502</v>
      </c>
      <c r="E20" s="269">
        <f t="shared" si="0"/>
        <v>9.8000000000000007</v>
      </c>
      <c r="F20" s="268">
        <f t="shared" si="1"/>
        <v>0.502</v>
      </c>
    </row>
    <row r="21" spans="2:6">
      <c r="B21" s="309">
        <v>2016</v>
      </c>
      <c r="C21" s="313"/>
      <c r="D21" s="310">
        <v>0.48599999999999999</v>
      </c>
      <c r="E21" s="269">
        <f t="shared" si="0"/>
        <v>9.8000000000000007</v>
      </c>
      <c r="F21" s="268">
        <f t="shared" si="1"/>
        <v>0.48599999999999999</v>
      </c>
    </row>
    <row r="22" spans="2:6">
      <c r="B22" s="309">
        <v>2017</v>
      </c>
      <c r="C22" s="313"/>
      <c r="D22" s="310">
        <v>0.48199999999999998</v>
      </c>
      <c r="E22" s="269">
        <f t="shared" si="0"/>
        <v>9.8000000000000007</v>
      </c>
      <c r="F22" s="268">
        <f t="shared" si="1"/>
        <v>0.48199999999999998</v>
      </c>
    </row>
    <row r="23" spans="2:6">
      <c r="B23" s="311">
        <v>2018</v>
      </c>
      <c r="C23" s="314"/>
      <c r="D23" s="312">
        <v>0.47560000000000002</v>
      </c>
      <c r="E23" s="269">
        <f t="shared" si="0"/>
        <v>9.8000000000000007</v>
      </c>
      <c r="F23" s="268">
        <f t="shared" si="1"/>
        <v>0.47560000000000002</v>
      </c>
    </row>
    <row r="24" spans="2:6">
      <c r="B24" s="263">
        <v>2019</v>
      </c>
      <c r="C24" s="259"/>
      <c r="D24" s="260"/>
      <c r="E24" s="267">
        <f t="shared" si="0"/>
        <v>9.8000000000000007</v>
      </c>
      <c r="F24" s="268">
        <f t="shared" si="1"/>
        <v>0.47560000000000002</v>
      </c>
    </row>
    <row r="25" spans="2:6">
      <c r="B25" s="263">
        <v>2020</v>
      </c>
      <c r="C25" s="259"/>
      <c r="D25" s="260"/>
      <c r="E25" s="267">
        <f t="shared" si="0"/>
        <v>9.8000000000000007</v>
      </c>
      <c r="F25" s="268">
        <f t="shared" si="1"/>
        <v>0.47560000000000002</v>
      </c>
    </row>
    <row r="26" spans="2:6">
      <c r="B26" s="263">
        <v>2021</v>
      </c>
      <c r="C26" s="259"/>
      <c r="D26" s="260"/>
      <c r="E26" s="267">
        <f t="shared" si="0"/>
        <v>9.8000000000000007</v>
      </c>
      <c r="F26" s="268">
        <f t="shared" si="1"/>
        <v>0.47560000000000002</v>
      </c>
    </row>
    <row r="27" spans="2:6">
      <c r="B27" s="263">
        <v>2022</v>
      </c>
      <c r="C27" s="259"/>
      <c r="D27" s="260"/>
      <c r="E27" s="267">
        <f t="shared" si="0"/>
        <v>9.8000000000000007</v>
      </c>
      <c r="F27" s="268">
        <f t="shared" si="1"/>
        <v>0.47560000000000002</v>
      </c>
    </row>
    <row r="28" spans="2:6">
      <c r="B28" s="263">
        <v>2023</v>
      </c>
      <c r="C28" s="259"/>
      <c r="D28" s="260"/>
      <c r="E28" s="267">
        <f t="shared" si="0"/>
        <v>9.8000000000000007</v>
      </c>
      <c r="F28" s="268">
        <f t="shared" si="1"/>
        <v>0.47560000000000002</v>
      </c>
    </row>
    <row r="29" spans="2:6">
      <c r="B29" s="263">
        <v>2024</v>
      </c>
      <c r="C29" s="259"/>
      <c r="D29" s="260"/>
      <c r="E29" s="267">
        <f t="shared" si="0"/>
        <v>9.8000000000000007</v>
      </c>
      <c r="F29" s="268">
        <f t="shared" si="1"/>
        <v>0.47560000000000002</v>
      </c>
    </row>
    <row r="30" spans="2:6">
      <c r="B30" s="263">
        <v>2025</v>
      </c>
      <c r="C30" s="259"/>
      <c r="D30" s="260"/>
      <c r="E30" s="267">
        <f t="shared" si="0"/>
        <v>9.8000000000000007</v>
      </c>
      <c r="F30" s="268">
        <f t="shared" si="1"/>
        <v>0.47560000000000002</v>
      </c>
    </row>
    <row r="31" spans="2:6">
      <c r="B31" s="263">
        <v>2026</v>
      </c>
      <c r="C31" s="259"/>
      <c r="D31" s="260"/>
      <c r="E31" s="267">
        <f>IF(C31&lt;&gt;"",C31,E30)</f>
        <v>9.8000000000000007</v>
      </c>
      <c r="F31" s="268">
        <f>IF(D31&lt;&gt;"",D31,F30)</f>
        <v>0.47560000000000002</v>
      </c>
    </row>
    <row r="32" spans="2:6">
      <c r="B32" s="263">
        <v>2027</v>
      </c>
      <c r="C32" s="259"/>
      <c r="D32" s="260"/>
      <c r="E32" s="267">
        <f t="shared" ref="E32:E55" si="2">IF(C32&lt;&gt;"",C32,E31)</f>
        <v>9.8000000000000007</v>
      </c>
      <c r="F32" s="268">
        <f t="shared" ref="F32:F55" si="3">IF(D32&lt;&gt;"",D32,F31)</f>
        <v>0.47560000000000002</v>
      </c>
    </row>
    <row r="33" spans="2:6">
      <c r="B33" s="263">
        <v>2028</v>
      </c>
      <c r="C33" s="259"/>
      <c r="D33" s="260"/>
      <c r="E33" s="267">
        <f t="shared" si="2"/>
        <v>9.8000000000000007</v>
      </c>
      <c r="F33" s="268">
        <f t="shared" si="3"/>
        <v>0.47560000000000002</v>
      </c>
    </row>
    <row r="34" spans="2:6">
      <c r="B34" s="263">
        <v>2029</v>
      </c>
      <c r="C34" s="259"/>
      <c r="D34" s="260"/>
      <c r="E34" s="267">
        <f t="shared" si="2"/>
        <v>9.8000000000000007</v>
      </c>
      <c r="F34" s="268">
        <f t="shared" si="3"/>
        <v>0.47560000000000002</v>
      </c>
    </row>
    <row r="35" spans="2:6">
      <c r="B35" s="263">
        <v>2030</v>
      </c>
      <c r="C35" s="259"/>
      <c r="D35" s="260"/>
      <c r="E35" s="267">
        <f t="shared" si="2"/>
        <v>9.8000000000000007</v>
      </c>
      <c r="F35" s="268">
        <f t="shared" si="3"/>
        <v>0.47560000000000002</v>
      </c>
    </row>
    <row r="36" spans="2:6">
      <c r="B36" s="263">
        <v>2031</v>
      </c>
      <c r="C36" s="259"/>
      <c r="D36" s="260"/>
      <c r="E36" s="267">
        <f t="shared" si="2"/>
        <v>9.8000000000000007</v>
      </c>
      <c r="F36" s="268">
        <f t="shared" si="3"/>
        <v>0.47560000000000002</v>
      </c>
    </row>
    <row r="37" spans="2:6">
      <c r="B37" s="263">
        <v>2032</v>
      </c>
      <c r="C37" s="259"/>
      <c r="D37" s="260"/>
      <c r="E37" s="267">
        <f t="shared" si="2"/>
        <v>9.8000000000000007</v>
      </c>
      <c r="F37" s="268">
        <f t="shared" si="3"/>
        <v>0.47560000000000002</v>
      </c>
    </row>
    <row r="38" spans="2:6">
      <c r="B38" s="263">
        <v>2033</v>
      </c>
      <c r="C38" s="259"/>
      <c r="D38" s="260"/>
      <c r="E38" s="267">
        <f t="shared" si="2"/>
        <v>9.8000000000000007</v>
      </c>
      <c r="F38" s="268">
        <f t="shared" si="3"/>
        <v>0.47560000000000002</v>
      </c>
    </row>
    <row r="39" spans="2:6">
      <c r="B39" s="263">
        <v>2034</v>
      </c>
      <c r="C39" s="259"/>
      <c r="D39" s="260"/>
      <c r="E39" s="267">
        <f t="shared" si="2"/>
        <v>9.8000000000000007</v>
      </c>
      <c r="F39" s="268">
        <f t="shared" si="3"/>
        <v>0.47560000000000002</v>
      </c>
    </row>
    <row r="40" spans="2:6">
      <c r="B40" s="263">
        <v>2035</v>
      </c>
      <c r="C40" s="259"/>
      <c r="D40" s="260"/>
      <c r="E40" s="267">
        <f t="shared" si="2"/>
        <v>9.8000000000000007</v>
      </c>
      <c r="F40" s="268">
        <f t="shared" si="3"/>
        <v>0.47560000000000002</v>
      </c>
    </row>
    <row r="41" spans="2:6">
      <c r="B41" s="263">
        <v>2036</v>
      </c>
      <c r="C41" s="259"/>
      <c r="D41" s="260"/>
      <c r="E41" s="267">
        <f t="shared" si="2"/>
        <v>9.8000000000000007</v>
      </c>
      <c r="F41" s="268">
        <f t="shared" si="3"/>
        <v>0.47560000000000002</v>
      </c>
    </row>
    <row r="42" spans="2:6">
      <c r="B42" s="263">
        <v>2037</v>
      </c>
      <c r="C42" s="259"/>
      <c r="D42" s="260"/>
      <c r="E42" s="267">
        <f t="shared" si="2"/>
        <v>9.8000000000000007</v>
      </c>
      <c r="F42" s="268">
        <f t="shared" si="3"/>
        <v>0.47560000000000002</v>
      </c>
    </row>
    <row r="43" spans="2:6">
      <c r="B43" s="263">
        <v>2038</v>
      </c>
      <c r="C43" s="259"/>
      <c r="D43" s="260"/>
      <c r="E43" s="267">
        <f t="shared" si="2"/>
        <v>9.8000000000000007</v>
      </c>
      <c r="F43" s="268">
        <f t="shared" si="3"/>
        <v>0.47560000000000002</v>
      </c>
    </row>
    <row r="44" spans="2:6">
      <c r="B44" s="263">
        <v>2039</v>
      </c>
      <c r="C44" s="259"/>
      <c r="D44" s="260"/>
      <c r="E44" s="267">
        <f t="shared" si="2"/>
        <v>9.8000000000000007</v>
      </c>
      <c r="F44" s="268">
        <f t="shared" si="3"/>
        <v>0.47560000000000002</v>
      </c>
    </row>
    <row r="45" spans="2:6">
      <c r="B45" s="263">
        <v>2040</v>
      </c>
      <c r="C45" s="259"/>
      <c r="D45" s="260"/>
      <c r="E45" s="267">
        <f t="shared" si="2"/>
        <v>9.8000000000000007</v>
      </c>
      <c r="F45" s="268">
        <f t="shared" si="3"/>
        <v>0.47560000000000002</v>
      </c>
    </row>
    <row r="46" spans="2:6">
      <c r="B46" s="263">
        <v>2041</v>
      </c>
      <c r="C46" s="259"/>
      <c r="D46" s="260"/>
      <c r="E46" s="267">
        <f t="shared" si="2"/>
        <v>9.8000000000000007</v>
      </c>
      <c r="F46" s="268">
        <f t="shared" si="3"/>
        <v>0.47560000000000002</v>
      </c>
    </row>
    <row r="47" spans="2:6">
      <c r="B47" s="263">
        <v>2042</v>
      </c>
      <c r="C47" s="259"/>
      <c r="D47" s="260"/>
      <c r="E47" s="267">
        <f t="shared" si="2"/>
        <v>9.8000000000000007</v>
      </c>
      <c r="F47" s="268">
        <f t="shared" si="3"/>
        <v>0.47560000000000002</v>
      </c>
    </row>
    <row r="48" spans="2:6">
      <c r="B48" s="263">
        <v>2043</v>
      </c>
      <c r="C48" s="259"/>
      <c r="D48" s="260"/>
      <c r="E48" s="267">
        <f t="shared" si="2"/>
        <v>9.8000000000000007</v>
      </c>
      <c r="F48" s="268">
        <f t="shared" si="3"/>
        <v>0.47560000000000002</v>
      </c>
    </row>
    <row r="49" spans="2:6">
      <c r="B49" s="263">
        <v>2044</v>
      </c>
      <c r="C49" s="259"/>
      <c r="D49" s="260"/>
      <c r="E49" s="267">
        <f t="shared" si="2"/>
        <v>9.8000000000000007</v>
      </c>
      <c r="F49" s="268">
        <f t="shared" si="3"/>
        <v>0.47560000000000002</v>
      </c>
    </row>
    <row r="50" spans="2:6">
      <c r="B50" s="263">
        <v>2045</v>
      </c>
      <c r="C50" s="259"/>
      <c r="D50" s="260"/>
      <c r="E50" s="267">
        <f t="shared" si="2"/>
        <v>9.8000000000000007</v>
      </c>
      <c r="F50" s="268">
        <f t="shared" si="3"/>
        <v>0.47560000000000002</v>
      </c>
    </row>
    <row r="51" spans="2:6">
      <c r="B51" s="263">
        <v>2046</v>
      </c>
      <c r="C51" s="259"/>
      <c r="D51" s="260"/>
      <c r="E51" s="267">
        <f t="shared" si="2"/>
        <v>9.8000000000000007</v>
      </c>
      <c r="F51" s="268">
        <f t="shared" si="3"/>
        <v>0.47560000000000002</v>
      </c>
    </row>
    <row r="52" spans="2:6">
      <c r="B52" s="263">
        <v>2047</v>
      </c>
      <c r="C52" s="259"/>
      <c r="D52" s="260"/>
      <c r="E52" s="267">
        <f t="shared" si="2"/>
        <v>9.8000000000000007</v>
      </c>
      <c r="F52" s="268">
        <f t="shared" si="3"/>
        <v>0.47560000000000002</v>
      </c>
    </row>
    <row r="53" spans="2:6">
      <c r="B53" s="263">
        <v>2048</v>
      </c>
      <c r="C53" s="259"/>
      <c r="D53" s="260"/>
      <c r="E53" s="267">
        <f t="shared" si="2"/>
        <v>9.8000000000000007</v>
      </c>
      <c r="F53" s="268">
        <f t="shared" si="3"/>
        <v>0.47560000000000002</v>
      </c>
    </row>
    <row r="54" spans="2:6">
      <c r="B54" s="263">
        <v>2049</v>
      </c>
      <c r="C54" s="259"/>
      <c r="D54" s="260"/>
      <c r="E54" s="267">
        <f t="shared" si="2"/>
        <v>9.8000000000000007</v>
      </c>
      <c r="F54" s="268">
        <f t="shared" si="3"/>
        <v>0.47560000000000002</v>
      </c>
    </row>
    <row r="55" spans="2:6">
      <c r="B55" s="264">
        <v>2050</v>
      </c>
      <c r="C55" s="261"/>
      <c r="D55" s="262"/>
      <c r="E55" s="270">
        <f t="shared" si="2"/>
        <v>9.8000000000000007</v>
      </c>
      <c r="F55" s="271">
        <f t="shared" si="3"/>
        <v>0.47560000000000002</v>
      </c>
    </row>
  </sheetData>
  <mergeCells count="3">
    <mergeCell ref="B3:B4"/>
    <mergeCell ref="C2:D2"/>
    <mergeCell ref="E2:F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B30EFAD131D7408D271E081056EBD0" ma:contentTypeVersion="13" ma:contentTypeDescription="Create a new document." ma:contentTypeScope="" ma:versionID="27467115cda727ce44cd34dbc3e5487a">
  <xsd:schema xmlns:xsd="http://www.w3.org/2001/XMLSchema" xmlns:xs="http://www.w3.org/2001/XMLSchema" xmlns:p="http://schemas.microsoft.com/office/2006/metadata/properties" xmlns:ns2="2b599e2a-9976-4501-a6ea-77fdfdeb1663" xmlns:ns3="5e15cd5a-78cb-442a-b814-603ed83d89b2" targetNamespace="http://schemas.microsoft.com/office/2006/metadata/properties" ma:root="true" ma:fieldsID="5465a1fe834edd9650cf87be534f2978" ns2:_="" ns3:_="">
    <xsd:import namespace="2b599e2a-9976-4501-a6ea-77fdfdeb1663"/>
    <xsd:import namespace="5e15cd5a-78cb-442a-b814-603ed83d89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599e2a-9976-4501-a6ea-77fdfdeb16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e15cd5a-78cb-442a-b814-603ed83d89b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CB9753-F9BB-4401-8521-B3F01D44ADAB}">
  <ds:schemaRefs>
    <ds:schemaRef ds:uri="http://schemas.microsoft.com/sharepoint/v3/contenttype/forms"/>
  </ds:schemaRefs>
</ds:datastoreItem>
</file>

<file path=customXml/itemProps2.xml><?xml version="1.0" encoding="utf-8"?>
<ds:datastoreItem xmlns:ds="http://schemas.openxmlformats.org/officeDocument/2006/customXml" ds:itemID="{B67F8429-F72E-4E2B-9B03-B4988234C064}"/>
</file>

<file path=customXml/itemProps3.xml><?xml version="1.0" encoding="utf-8"?>
<ds:datastoreItem xmlns:ds="http://schemas.openxmlformats.org/officeDocument/2006/customXml" ds:itemID="{786A0528-1D80-44D4-B1F8-3C2649396B30}">
  <ds:schemaRefs>
    <ds:schemaRef ds:uri="http://schemas.microsoft.com/office/infopath/2007/PartnerControls"/>
    <ds:schemaRef ds:uri="http://purl.org/dc/terms/"/>
    <ds:schemaRef ds:uri="09ad6ea3-085b-4d9a-84b9-03d3102c663e"/>
    <ds:schemaRef ds:uri="http://schemas.microsoft.com/office/2006/metadata/properties"/>
    <ds:schemaRef ds:uri="http://schemas.microsoft.com/office/2006/documentManagement/types"/>
    <ds:schemaRef ds:uri="http://purl.org/dc/elements/1.1/"/>
    <ds:schemaRef ds:uri="86cb6555-a9b0-48b9-a1b5-0afe58205b60"/>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 Choi</dc:creator>
  <cp:lastModifiedBy>Felipe Maciel</cp:lastModifiedBy>
  <dcterms:created xsi:type="dcterms:W3CDTF">2018-06-13T19:26:22Z</dcterms:created>
  <dcterms:modified xsi:type="dcterms:W3CDTF">2022-02-17T16:45:13Z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0x01010008B30EFAD131D7408D271E081056EBD0</vt:lpwstr>
  </property>
</Properties>
</file>